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50\Transparencia\Nodo 2019\10 Octubre (al 30 de septiembre de 2019)\"/>
    </mc:Choice>
  </mc:AlternateContent>
  <xr:revisionPtr revIDLastSave="0" documentId="13_ncr:1_{F89FD20D-C9C8-4E33-9A8C-0FDD7849518C}" xr6:coauthVersionLast="44" xr6:coauthVersionMax="44" xr10:uidLastSave="{00000000-0000-0000-0000-000000000000}"/>
  <bookViews>
    <workbookView xWindow="-120" yWindow="-120" windowWidth="29040" windowHeight="15840" activeTab="2" xr2:uid="{7A2D19C9-1435-4297-A70E-ED4B4692A014}"/>
  </bookViews>
  <sheets>
    <sheet name="Resumen" sheetId="1" r:id="rId1"/>
    <sheet name="Funcionamiento" sheetId="2" r:id="rId2"/>
    <sheet name="Inversio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3" i="3" l="1"/>
  <c r="G43" i="3"/>
  <c r="G42" i="3" s="1"/>
  <c r="D43" i="3"/>
  <c r="K43" i="3" s="1"/>
  <c r="K42" i="3" s="1"/>
  <c r="I42" i="3"/>
  <c r="H42" i="3"/>
  <c r="F42" i="3"/>
  <c r="E42" i="3"/>
  <c r="J42" i="3" s="1"/>
  <c r="D42" i="3"/>
  <c r="C42" i="3"/>
  <c r="B42" i="3"/>
  <c r="J41" i="3"/>
  <c r="G41" i="3"/>
  <c r="B41" i="3"/>
  <c r="D41" i="3" s="1"/>
  <c r="K41" i="3" s="1"/>
  <c r="J40" i="3"/>
  <c r="G40" i="3"/>
  <c r="B40" i="3"/>
  <c r="B39" i="3" s="1"/>
  <c r="I39" i="3"/>
  <c r="H39" i="3"/>
  <c r="G39" i="3"/>
  <c r="F39" i="3"/>
  <c r="E39" i="3"/>
  <c r="J39" i="3" s="1"/>
  <c r="C39" i="3"/>
  <c r="J38" i="3"/>
  <c r="G38" i="3"/>
  <c r="D38" i="3"/>
  <c r="K38" i="3" s="1"/>
  <c r="K37" i="3" s="1"/>
  <c r="J37" i="3"/>
  <c r="I37" i="3"/>
  <c r="H37" i="3"/>
  <c r="F37" i="3"/>
  <c r="G37" i="3" s="1"/>
  <c r="E37" i="3"/>
  <c r="D37" i="3"/>
  <c r="C37" i="3"/>
  <c r="B37" i="3"/>
  <c r="J36" i="3"/>
  <c r="G36" i="3"/>
  <c r="D36" i="3"/>
  <c r="K36" i="3" s="1"/>
  <c r="J35" i="3"/>
  <c r="G35" i="3"/>
  <c r="D35" i="3"/>
  <c r="K35" i="3" s="1"/>
  <c r="J34" i="3"/>
  <c r="G34" i="3"/>
  <c r="D34" i="3"/>
  <c r="K34" i="3" s="1"/>
  <c r="J33" i="3"/>
  <c r="G33" i="3"/>
  <c r="D33" i="3"/>
  <c r="K33" i="3" s="1"/>
  <c r="I32" i="3"/>
  <c r="H32" i="3"/>
  <c r="G32" i="3"/>
  <c r="F32" i="3"/>
  <c r="E32" i="3"/>
  <c r="J32" i="3" s="1"/>
  <c r="D32" i="3"/>
  <c r="C32" i="3"/>
  <c r="B32" i="3"/>
  <c r="J31" i="3"/>
  <c r="G31" i="3"/>
  <c r="D31" i="3"/>
  <c r="K31" i="3" s="1"/>
  <c r="J30" i="3"/>
  <c r="G30" i="3"/>
  <c r="D30" i="3"/>
  <c r="K30" i="3" s="1"/>
  <c r="J29" i="3"/>
  <c r="G29" i="3"/>
  <c r="D29" i="3"/>
  <c r="K29" i="3" s="1"/>
  <c r="I28" i="3"/>
  <c r="H28" i="3"/>
  <c r="F28" i="3"/>
  <c r="J28" i="3" s="1"/>
  <c r="E28" i="3"/>
  <c r="D28" i="3"/>
  <c r="C28" i="3"/>
  <c r="B28" i="3"/>
  <c r="J26" i="3"/>
  <c r="G26" i="3"/>
  <c r="D26" i="3"/>
  <c r="K26" i="3" s="1"/>
  <c r="J25" i="3"/>
  <c r="G25" i="3"/>
  <c r="D25" i="3"/>
  <c r="K25" i="3" s="1"/>
  <c r="J24" i="3"/>
  <c r="G24" i="3"/>
  <c r="D24" i="3"/>
  <c r="K24" i="3" s="1"/>
  <c r="I23" i="3"/>
  <c r="H23" i="3"/>
  <c r="G23" i="3"/>
  <c r="F23" i="3"/>
  <c r="E23" i="3"/>
  <c r="J23" i="3" s="1"/>
  <c r="C23" i="3"/>
  <c r="B23" i="3"/>
  <c r="J21" i="3"/>
  <c r="G21" i="3"/>
  <c r="D21" i="3"/>
  <c r="K21" i="3" s="1"/>
  <c r="K20" i="3" s="1"/>
  <c r="I20" i="3"/>
  <c r="H20" i="3"/>
  <c r="F20" i="3"/>
  <c r="J20" i="3" s="1"/>
  <c r="E20" i="3"/>
  <c r="D20" i="3"/>
  <c r="C20" i="3"/>
  <c r="B20" i="3"/>
  <c r="J18" i="3"/>
  <c r="G18" i="3"/>
  <c r="D18" i="3"/>
  <c r="K18" i="3" s="1"/>
  <c r="J17" i="3"/>
  <c r="G17" i="3"/>
  <c r="D17" i="3"/>
  <c r="K17" i="3" s="1"/>
  <c r="I16" i="3"/>
  <c r="H16" i="3"/>
  <c r="G16" i="3"/>
  <c r="F16" i="3"/>
  <c r="J16" i="3" s="1"/>
  <c r="E16" i="3"/>
  <c r="D16" i="3"/>
  <c r="C16" i="3"/>
  <c r="B16" i="3"/>
  <c r="J14" i="3"/>
  <c r="G14" i="3"/>
  <c r="D14" i="3"/>
  <c r="K14" i="3" s="1"/>
  <c r="J13" i="3"/>
  <c r="G13" i="3"/>
  <c r="D13" i="3"/>
  <c r="K13" i="3" s="1"/>
  <c r="J12" i="3"/>
  <c r="G12" i="3"/>
  <c r="D12" i="3"/>
  <c r="K12" i="3" s="1"/>
  <c r="J11" i="3"/>
  <c r="G11" i="3"/>
  <c r="D11" i="3"/>
  <c r="K11" i="3" s="1"/>
  <c r="J10" i="3"/>
  <c r="G10" i="3"/>
  <c r="D10" i="3"/>
  <c r="K10" i="3" s="1"/>
  <c r="J9" i="3"/>
  <c r="G9" i="3"/>
  <c r="D9" i="3"/>
  <c r="K9" i="3" s="1"/>
  <c r="J8" i="3"/>
  <c r="G8" i="3"/>
  <c r="D8" i="3"/>
  <c r="K8" i="3" s="1"/>
  <c r="J7" i="3"/>
  <c r="J5" i="3" s="1"/>
  <c r="I7" i="3"/>
  <c r="I5" i="3" s="1"/>
  <c r="H7" i="3"/>
  <c r="F7" i="3"/>
  <c r="F5" i="3" s="1"/>
  <c r="E7" i="3"/>
  <c r="E5" i="3" s="1"/>
  <c r="D7" i="3"/>
  <c r="C7" i="3"/>
  <c r="B7" i="3"/>
  <c r="H5" i="3"/>
  <c r="C5" i="3"/>
  <c r="J35" i="2"/>
  <c r="H35" i="2"/>
  <c r="H33" i="2" s="1"/>
  <c r="G35" i="2"/>
  <c r="F35" i="2"/>
  <c r="K35" i="2" s="1"/>
  <c r="K33" i="2" s="1"/>
  <c r="K34" i="2"/>
  <c r="J34" i="2"/>
  <c r="G34" i="2"/>
  <c r="C34" i="2"/>
  <c r="I33" i="2"/>
  <c r="F33" i="2"/>
  <c r="G33" i="2" s="1"/>
  <c r="E33" i="2"/>
  <c r="J33" i="2" s="1"/>
  <c r="D33" i="2"/>
  <c r="C33" i="2"/>
  <c r="B33" i="2"/>
  <c r="K32" i="2"/>
  <c r="G32" i="2"/>
  <c r="C32" i="2"/>
  <c r="K31" i="2"/>
  <c r="K30" i="2" s="1"/>
  <c r="J31" i="2"/>
  <c r="J30" i="2" s="1"/>
  <c r="G31" i="2"/>
  <c r="I30" i="2"/>
  <c r="H30" i="2"/>
  <c r="F30" i="2"/>
  <c r="G30" i="2" s="1"/>
  <c r="E30" i="2"/>
  <c r="D30" i="2"/>
  <c r="C30" i="2"/>
  <c r="B30" i="2"/>
  <c r="K29" i="2"/>
  <c r="J29" i="2"/>
  <c r="G29" i="2"/>
  <c r="K28" i="2"/>
  <c r="J28" i="2"/>
  <c r="G28" i="2"/>
  <c r="K27" i="2"/>
  <c r="J27" i="2"/>
  <c r="G27" i="2"/>
  <c r="K26" i="2"/>
  <c r="J26" i="2"/>
  <c r="G26" i="2"/>
  <c r="K25" i="2"/>
  <c r="J25" i="2"/>
  <c r="G25" i="2"/>
  <c r="K24" i="2"/>
  <c r="J24" i="2"/>
  <c r="G24" i="2"/>
  <c r="K23" i="2"/>
  <c r="J23" i="2"/>
  <c r="G23" i="2"/>
  <c r="K22" i="2"/>
  <c r="J22" i="2"/>
  <c r="G22" i="2"/>
  <c r="K21" i="2"/>
  <c r="K20" i="2" s="1"/>
  <c r="J21" i="2"/>
  <c r="G21" i="2"/>
  <c r="I20" i="2"/>
  <c r="H20" i="2"/>
  <c r="F20" i="2"/>
  <c r="G20" i="2" s="1"/>
  <c r="E20" i="2"/>
  <c r="D20" i="2"/>
  <c r="C20" i="2"/>
  <c r="B20" i="2"/>
  <c r="B5" i="2" s="1"/>
  <c r="K19" i="2"/>
  <c r="J19" i="2"/>
  <c r="G19" i="2"/>
  <c r="K18" i="2"/>
  <c r="J18" i="2"/>
  <c r="G18" i="2"/>
  <c r="K17" i="2"/>
  <c r="J17" i="2"/>
  <c r="G17" i="2"/>
  <c r="K16" i="2"/>
  <c r="J16" i="2"/>
  <c r="G16" i="2"/>
  <c r="K15" i="2"/>
  <c r="J15" i="2"/>
  <c r="G15" i="2"/>
  <c r="K14" i="2"/>
  <c r="J14" i="2"/>
  <c r="G14" i="2"/>
  <c r="K13" i="2"/>
  <c r="J13" i="2"/>
  <c r="G13" i="2"/>
  <c r="I12" i="2"/>
  <c r="H12" i="2"/>
  <c r="F12" i="2"/>
  <c r="G12" i="2" s="1"/>
  <c r="E12" i="2"/>
  <c r="J12" i="2" s="1"/>
  <c r="D12" i="2"/>
  <c r="C12" i="2"/>
  <c r="B12" i="2"/>
  <c r="K12" i="2" s="1"/>
  <c r="K11" i="2"/>
  <c r="J11" i="2"/>
  <c r="G11" i="2"/>
  <c r="D11" i="2"/>
  <c r="C11" i="2"/>
  <c r="J10" i="2"/>
  <c r="G10" i="2"/>
  <c r="D10" i="2"/>
  <c r="K10" i="2" s="1"/>
  <c r="K7" i="2" s="1"/>
  <c r="C10" i="2"/>
  <c r="K9" i="2"/>
  <c r="J9" i="2"/>
  <c r="G9" i="2"/>
  <c r="D9" i="2"/>
  <c r="C9" i="2"/>
  <c r="K8" i="2"/>
  <c r="J8" i="2"/>
  <c r="J7" i="2" s="1"/>
  <c r="G8" i="2"/>
  <c r="D8" i="2"/>
  <c r="C8" i="2"/>
  <c r="I7" i="2"/>
  <c r="H7" i="2"/>
  <c r="H5" i="2" s="1"/>
  <c r="G7" i="2"/>
  <c r="F7" i="2"/>
  <c r="E7" i="2"/>
  <c r="C7" i="2"/>
  <c r="C5" i="2" s="1"/>
  <c r="B7" i="2"/>
  <c r="I5" i="2"/>
  <c r="E5" i="2"/>
  <c r="I15" i="1"/>
  <c r="H15" i="1"/>
  <c r="H10" i="1" s="1"/>
  <c r="F15" i="1"/>
  <c r="G15" i="1" s="1"/>
  <c r="E15" i="1"/>
  <c r="J15" i="1" s="1"/>
  <c r="D15" i="1"/>
  <c r="K15" i="1" s="1"/>
  <c r="B15" i="1"/>
  <c r="J13" i="1"/>
  <c r="G13" i="1"/>
  <c r="D13" i="1"/>
  <c r="K13" i="1" s="1"/>
  <c r="I10" i="1"/>
  <c r="F10" i="1"/>
  <c r="G10" i="1" s="1"/>
  <c r="E10" i="1"/>
  <c r="C10" i="1"/>
  <c r="B10" i="1"/>
  <c r="G5" i="3" l="1"/>
  <c r="K7" i="3"/>
  <c r="K23" i="3"/>
  <c r="K28" i="3"/>
  <c r="B5" i="3"/>
  <c r="K16" i="3"/>
  <c r="K32" i="3"/>
  <c r="G7" i="3"/>
  <c r="G20" i="3"/>
  <c r="G28" i="3"/>
  <c r="D40" i="3"/>
  <c r="D23" i="3"/>
  <c r="D5" i="2"/>
  <c r="K5" i="2" s="1"/>
  <c r="D7" i="2"/>
  <c r="J20" i="2"/>
  <c r="F5" i="2"/>
  <c r="G5" i="2" s="1"/>
  <c r="J10" i="1"/>
  <c r="D10" i="1"/>
  <c r="K10" i="1" s="1"/>
  <c r="K40" i="3" l="1"/>
  <c r="K39" i="3" s="1"/>
  <c r="D39" i="3"/>
  <c r="D5" i="3"/>
  <c r="K5" i="3" s="1"/>
  <c r="J5" i="2"/>
</calcChain>
</file>

<file path=xl/sharedStrings.xml><?xml version="1.0" encoding="utf-8"?>
<sst xmlns="http://schemas.openxmlformats.org/spreadsheetml/2006/main" count="108" uniqueCount="97">
  <si>
    <t>Ejecución Presupuestaria de SENACYT al 30 de SEPTIEMBRE del 2019 (en balboas)</t>
  </si>
  <si>
    <t>Tipo de Presupuesto</t>
  </si>
  <si>
    <t>Presupuesto Modificado                     1</t>
  </si>
  <si>
    <t>Contención    2</t>
  </si>
  <si>
    <t>Nuevo Presupuesto Modificado     3</t>
  </si>
  <si>
    <t>Presupuesto Asignado a la Fecha                        4</t>
  </si>
  <si>
    <t>Presupuesto Ejecutado a la Fecha                   5</t>
  </si>
  <si>
    <t>% de Ejecución              6 = (5/4 * 100)</t>
  </si>
  <si>
    <t>Devengado                   7</t>
  </si>
  <si>
    <t>Pagado                        8</t>
  </si>
  <si>
    <t>Saldo de lo Asignado                     9 = (4-5)</t>
  </si>
  <si>
    <t>Saldo Anual                     10 = (3-5)</t>
  </si>
  <si>
    <t>Funcionamiento</t>
  </si>
  <si>
    <t>Inversiones</t>
  </si>
  <si>
    <t xml:space="preserve"> Ejecución del Presupuesto de Funcionamiento al  30 de septiembre del  2019 (en balboas)</t>
  </si>
  <si>
    <t>Objeto de Gasto</t>
  </si>
  <si>
    <t>Presupuesto Ley  Modificado               1</t>
  </si>
  <si>
    <t>Contención del Gasto                    2</t>
  </si>
  <si>
    <t>Nuevo Presupuesto Modificado                        3</t>
  </si>
  <si>
    <t>Asignado a la Fecha                 4</t>
  </si>
  <si>
    <t>Ejecutado a la Fecha                 5</t>
  </si>
  <si>
    <t>% de Ejecución           6 = (3/2 * 100)</t>
  </si>
  <si>
    <t>Devengado         7</t>
  </si>
  <si>
    <t>Saldo a la fecha               9 = 4-5</t>
  </si>
  <si>
    <t>Saldo anual               10 = 1-3</t>
  </si>
  <si>
    <t>TOTAL</t>
  </si>
  <si>
    <t xml:space="preserve"> </t>
  </si>
  <si>
    <t>Servicios Personales</t>
  </si>
  <si>
    <t xml:space="preserve">   Sueldos</t>
  </si>
  <si>
    <t xml:space="preserve">   Gastos de representación</t>
  </si>
  <si>
    <t xml:space="preserve">   XIII mes</t>
  </si>
  <si>
    <t xml:space="preserve">   Contribuciones a la seguridad social</t>
  </si>
  <si>
    <t>Servicios No Personales</t>
  </si>
  <si>
    <t xml:space="preserve">   Alquileres</t>
  </si>
  <si>
    <t xml:space="preserve">   Servicios básicos</t>
  </si>
  <si>
    <t xml:space="preserve">   Información y publicidad</t>
  </si>
  <si>
    <t xml:space="preserve">   Viáticos</t>
  </si>
  <si>
    <t xml:space="preserve">   Transporte de personas y bienes</t>
  </si>
  <si>
    <t xml:space="preserve">   Servicios comerciales y financieros</t>
  </si>
  <si>
    <t xml:space="preserve">   Mantenimiento y reparación</t>
  </si>
  <si>
    <t>Materiales y Suministros</t>
  </si>
  <si>
    <t xml:space="preserve">   Alimentos y bebidas</t>
  </si>
  <si>
    <t xml:space="preserve">   Acabado Textil</t>
  </si>
  <si>
    <t xml:space="preserve">   Combustibles y lubricantes</t>
  </si>
  <si>
    <t xml:space="preserve">   Productos de papel y cartón</t>
  </si>
  <si>
    <t xml:space="preserve">   Productos quimicos y Conexos</t>
  </si>
  <si>
    <t xml:space="preserve">   Materiales para Const. Y Mantenim.</t>
  </si>
  <si>
    <t xml:space="preserve">   Productos varios</t>
  </si>
  <si>
    <t xml:space="preserve">   Útiles y materiales diversos</t>
  </si>
  <si>
    <t xml:space="preserve">   Repuestos</t>
  </si>
  <si>
    <t>Maquinaria y Equipo</t>
  </si>
  <si>
    <t xml:space="preserve">     Mobiliario de Oficina</t>
  </si>
  <si>
    <t xml:space="preserve">     Equipo de computaciòn </t>
  </si>
  <si>
    <t>Transferencias Corrientes</t>
  </si>
  <si>
    <t xml:space="preserve">    Bonificación por antigüedad</t>
  </si>
  <si>
    <t xml:space="preserve">    Capacitación y Estudios</t>
  </si>
  <si>
    <t>Ejecución del Presupuesto de inversiones según programa al 30 de SEPTIEMBRE del 2019 (en balboas)</t>
  </si>
  <si>
    <t>Programas y Proyectos de Inversión</t>
  </si>
  <si>
    <t>Presupuesto Ley Modificado               1</t>
  </si>
  <si>
    <t>Contención               2</t>
  </si>
  <si>
    <t>Nuevo Presupuesto Modificado    3</t>
  </si>
  <si>
    <t>% de Ejecución          6 =(5/4*100)</t>
  </si>
  <si>
    <t>Devengado                7</t>
  </si>
  <si>
    <t>Saldo a  la Fecha                9 = 4-5</t>
  </si>
  <si>
    <t>Saldo Anual              10 = 3-5</t>
  </si>
  <si>
    <t>Investigación Científica</t>
  </si>
  <si>
    <t>INDICASAT</t>
  </si>
  <si>
    <t>Apoyo y Promo. de Actividades de Inv.</t>
  </si>
  <si>
    <t>Const. Estación Científica en el Parque</t>
  </si>
  <si>
    <t>Ampliación investigación científica</t>
  </si>
  <si>
    <t xml:space="preserve">  </t>
  </si>
  <si>
    <t>Insercion de Talento Especializado</t>
  </si>
  <si>
    <t>Plataforma de Acceso a Bibliografico Cient.</t>
  </si>
  <si>
    <t>Sistema Nacional de Investigación</t>
  </si>
  <si>
    <t>Obras, Remodelaciones y Equipa.</t>
  </si>
  <si>
    <t>Obras, remodelaciones y Equipo</t>
  </si>
  <si>
    <t>Ampliación y adecuación de Infraest.</t>
  </si>
  <si>
    <t>Metrología y Normas</t>
  </si>
  <si>
    <t>Innovación y Competitividad</t>
  </si>
  <si>
    <t>Innovación Empresarial</t>
  </si>
  <si>
    <t>Fortalecimiento del Sistema Nacional de Ciencia</t>
  </si>
  <si>
    <t>Desarrollo del Plan Estratégico de C y T</t>
  </si>
  <si>
    <t>Estímulos e Investigaciones</t>
  </si>
  <si>
    <t>En el aprendizaje de las ciencias</t>
  </si>
  <si>
    <t>Desarrollo Centro Intl. De Estudios Políticos y Soc</t>
  </si>
  <si>
    <t>Mejoram. del uso innovador de la tec. en la educación</t>
  </si>
  <si>
    <t>Desarrollo Tecnológico</t>
  </si>
  <si>
    <t>Programa de Infoplazas</t>
  </si>
  <si>
    <t>Nac. Indicadores de Ciencia y Tec</t>
  </si>
  <si>
    <t>Clusters de competitividad</t>
  </si>
  <si>
    <t>Mejoramiento Automatización Senacyt</t>
  </si>
  <si>
    <t>Capacitación</t>
  </si>
  <si>
    <t xml:space="preserve">Fortalecimiento de los Recursos Humanos </t>
  </si>
  <si>
    <t>Inclusión Social y Productividad</t>
  </si>
  <si>
    <t>3692/OC-PN Innov para la Inclusion Soc.y Product</t>
  </si>
  <si>
    <t>Fortalecimiento Institucional</t>
  </si>
  <si>
    <t>Equipamiento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</si>
</sst>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theme="5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2" xfId="0" applyBorder="1"/>
    <xf numFmtId="0" fontId="0" fillId="0" borderId="3" xfId="0" applyBorder="1" applyAlignment="1">
      <alignment vertical="center" wrapText="1"/>
    </xf>
    <xf numFmtId="0" fontId="0" fillId="0" borderId="3" xfId="0" applyBorder="1"/>
    <xf numFmtId="0" fontId="3" fillId="0" borderId="2" xfId="0" applyFont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3" fontId="1" fillId="0" borderId="2" xfId="0" applyNumberFormat="1" applyFont="1" applyBorder="1"/>
    <xf numFmtId="3" fontId="0" fillId="0" borderId="2" xfId="0" applyNumberFormat="1" applyBorder="1"/>
    <xf numFmtId="3" fontId="0" fillId="0" borderId="4" xfId="0" applyNumberFormat="1" applyBorder="1"/>
    <xf numFmtId="3" fontId="4" fillId="0" borderId="2" xfId="0" applyNumberFormat="1" applyFont="1" applyBorder="1" applyAlignment="1">
      <alignment horizontal="center"/>
    </xf>
    <xf numFmtId="3" fontId="4" fillId="0" borderId="4" xfId="0" applyNumberFormat="1" applyFont="1" applyBorder="1"/>
    <xf numFmtId="3" fontId="4" fillId="0" borderId="2" xfId="0" applyNumberFormat="1" applyFont="1" applyBorder="1" applyAlignment="1">
      <alignment horizontal="right"/>
    </xf>
    <xf numFmtId="3" fontId="0" fillId="0" borderId="0" xfId="0" applyNumberFormat="1"/>
    <xf numFmtId="0" fontId="0" fillId="0" borderId="5" xfId="0" applyBorder="1"/>
    <xf numFmtId="4" fontId="0" fillId="0" borderId="5" xfId="0" applyNumberFormat="1" applyBorder="1"/>
    <xf numFmtId="3" fontId="0" fillId="0" borderId="6" xfId="0" applyNumberFormat="1" applyBorder="1"/>
    <xf numFmtId="3" fontId="4" fillId="0" borderId="5" xfId="0" applyNumberFormat="1" applyFont="1" applyBorder="1" applyAlignment="1">
      <alignment horizontal="center"/>
    </xf>
    <xf numFmtId="4" fontId="0" fillId="0" borderId="6" xfId="0" applyNumberFormat="1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/>
    <xf numFmtId="0" fontId="4" fillId="0" borderId="2" xfId="0" applyFont="1" applyBorder="1"/>
    <xf numFmtId="0" fontId="0" fillId="0" borderId="15" xfId="0" applyBorder="1"/>
    <xf numFmtId="0" fontId="3" fillId="0" borderId="14" xfId="0" applyFont="1" applyBorder="1" applyAlignment="1">
      <alignment horizontal="center"/>
    </xf>
    <xf numFmtId="3" fontId="3" fillId="0" borderId="2" xfId="0" applyNumberFormat="1" applyFont="1" applyBorder="1"/>
    <xf numFmtId="3" fontId="3" fillId="0" borderId="4" xfId="0" applyNumberFormat="1" applyFont="1" applyBorder="1"/>
    <xf numFmtId="3" fontId="3" fillId="0" borderId="15" xfId="0" applyNumberFormat="1" applyFont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164" fontId="3" fillId="0" borderId="17" xfId="0" applyNumberFormat="1" applyFont="1" applyBorder="1"/>
    <xf numFmtId="164" fontId="3" fillId="0" borderId="19" xfId="0" applyNumberFormat="1" applyFont="1" applyBorder="1"/>
    <xf numFmtId="0" fontId="4" fillId="0" borderId="0" xfId="0" applyFont="1"/>
    <xf numFmtId="0" fontId="3" fillId="0" borderId="20" xfId="0" applyFont="1" applyBorder="1"/>
    <xf numFmtId="3" fontId="3" fillId="0" borderId="21" xfId="0" applyNumberFormat="1" applyFont="1" applyBorder="1"/>
    <xf numFmtId="3" fontId="3" fillId="0" borderId="22" xfId="0" applyNumberFormat="1" applyFont="1" applyBorder="1"/>
    <xf numFmtId="164" fontId="3" fillId="0" borderId="21" xfId="0" applyNumberFormat="1" applyFont="1" applyBorder="1"/>
    <xf numFmtId="3" fontId="3" fillId="0" borderId="8" xfId="0" applyNumberFormat="1" applyFont="1" applyBorder="1"/>
    <xf numFmtId="3" fontId="3" fillId="0" borderId="23" xfId="0" applyNumberFormat="1" applyFont="1" applyBorder="1"/>
    <xf numFmtId="164" fontId="4" fillId="0" borderId="2" xfId="0" applyNumberFormat="1" applyFont="1" applyBorder="1"/>
    <xf numFmtId="3" fontId="0" fillId="0" borderId="15" xfId="0" applyNumberFormat="1" applyBorder="1"/>
    <xf numFmtId="3" fontId="4" fillId="0" borderId="2" xfId="0" applyNumberFormat="1" applyFont="1" applyBorder="1"/>
    <xf numFmtId="0" fontId="0" fillId="0" borderId="24" xfId="0" applyBorder="1"/>
    <xf numFmtId="3" fontId="0" fillId="0" borderId="5" xfId="0" applyNumberFormat="1" applyBorder="1"/>
    <xf numFmtId="164" fontId="4" fillId="0" borderId="5" xfId="0" applyNumberFormat="1" applyFont="1" applyBorder="1"/>
    <xf numFmtId="3" fontId="4" fillId="0" borderId="6" xfId="0" applyNumberFormat="1" applyFont="1" applyBorder="1"/>
    <xf numFmtId="3" fontId="0" fillId="0" borderId="25" xfId="0" applyNumberFormat="1" applyBorder="1"/>
    <xf numFmtId="0" fontId="3" fillId="0" borderId="14" xfId="0" applyFont="1" applyBorder="1"/>
    <xf numFmtId="3" fontId="3" fillId="0" borderId="0" xfId="0" applyNumberFormat="1" applyFont="1"/>
    <xf numFmtId="164" fontId="3" fillId="0" borderId="2" xfId="0" applyNumberFormat="1" applyFont="1" applyBorder="1"/>
    <xf numFmtId="3" fontId="1" fillId="0" borderId="15" xfId="0" applyNumberFormat="1" applyFont="1" applyBorder="1"/>
    <xf numFmtId="3" fontId="4" fillId="0" borderId="0" xfId="0" applyNumberFormat="1" applyFont="1"/>
    <xf numFmtId="164" fontId="0" fillId="0" borderId="4" xfId="0" quotePrefix="1" applyNumberFormat="1" applyBorder="1"/>
    <xf numFmtId="3" fontId="4" fillId="0" borderId="5" xfId="0" applyNumberFormat="1" applyFont="1" applyBorder="1"/>
    <xf numFmtId="3" fontId="4" fillId="0" borderId="0" xfId="0" applyNumberFormat="1" applyFont="1" applyAlignment="1">
      <alignment vertical="center" wrapText="1"/>
    </xf>
    <xf numFmtId="0" fontId="4" fillId="0" borderId="14" xfId="0" applyFont="1" applyBorder="1"/>
    <xf numFmtId="0" fontId="5" fillId="0" borderId="14" xfId="0" applyFont="1" applyBorder="1"/>
    <xf numFmtId="1" fontId="4" fillId="0" borderId="0" xfId="0" applyNumberFormat="1" applyFont="1" applyAlignment="1">
      <alignment vertical="center" wrapText="1"/>
    </xf>
    <xf numFmtId="3" fontId="0" fillId="0" borderId="26" xfId="0" applyNumberFormat="1" applyBorder="1"/>
    <xf numFmtId="3" fontId="3" fillId="0" borderId="9" xfId="0" applyNumberFormat="1" applyFont="1" applyBorder="1"/>
    <xf numFmtId="3" fontId="4" fillId="0" borderId="9" xfId="0" applyNumberFormat="1" applyFont="1" applyBorder="1"/>
    <xf numFmtId="3" fontId="4" fillId="0" borderId="27" xfId="0" applyNumberFormat="1" applyFont="1" applyBorder="1"/>
    <xf numFmtId="3" fontId="4" fillId="0" borderId="16" xfId="0" applyNumberFormat="1" applyFont="1" applyBorder="1"/>
    <xf numFmtId="3" fontId="4" fillId="0" borderId="17" xfId="0" applyNumberFormat="1" applyFont="1" applyBorder="1"/>
    <xf numFmtId="3" fontId="4" fillId="0" borderId="28" xfId="0" applyNumberFormat="1" applyFont="1" applyBorder="1"/>
    <xf numFmtId="164" fontId="4" fillId="0" borderId="17" xfId="0" applyNumberFormat="1" applyFont="1" applyBorder="1"/>
    <xf numFmtId="3" fontId="0" fillId="0" borderId="19" xfId="0" applyNumberFormat="1" applyBorder="1"/>
    <xf numFmtId="0" fontId="7" fillId="0" borderId="0" xfId="0" applyFont="1"/>
    <xf numFmtId="0" fontId="8" fillId="0" borderId="9" xfId="0" applyFont="1" applyBorder="1"/>
    <xf numFmtId="0" fontId="8" fillId="0" borderId="0" xfId="0" applyFont="1"/>
    <xf numFmtId="0" fontId="8" fillId="2" borderId="0" xfId="0" applyFont="1" applyFill="1"/>
    <xf numFmtId="0" fontId="8" fillId="0" borderId="15" xfId="0" applyFont="1" applyBorder="1"/>
    <xf numFmtId="0" fontId="8" fillId="0" borderId="10" xfId="0" applyFont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14" xfId="0" applyFont="1" applyBorder="1"/>
    <xf numFmtId="0" fontId="9" fillId="0" borderId="2" xfId="0" applyFont="1" applyBorder="1"/>
    <xf numFmtId="0" fontId="9" fillId="0" borderId="3" xfId="0" applyFont="1" applyBorder="1"/>
    <xf numFmtId="0" fontId="8" fillId="0" borderId="2" xfId="0" applyFont="1" applyBorder="1"/>
    <xf numFmtId="0" fontId="8" fillId="2" borderId="2" xfId="0" applyFont="1" applyFill="1" applyBorder="1"/>
    <xf numFmtId="0" fontId="8" fillId="0" borderId="31" xfId="0" applyFont="1" applyBorder="1"/>
    <xf numFmtId="0" fontId="6" fillId="0" borderId="14" xfId="0" applyFont="1" applyBorder="1" applyAlignment="1">
      <alignment horizontal="center"/>
    </xf>
    <xf numFmtId="3" fontId="6" fillId="0" borderId="0" xfId="0" applyNumberFormat="1" applyFont="1"/>
    <xf numFmtId="3" fontId="6" fillId="0" borderId="2" xfId="0" applyNumberFormat="1" applyFont="1" applyBorder="1"/>
    <xf numFmtId="3" fontId="6" fillId="0" borderId="31" xfId="0" applyNumberFormat="1" applyFont="1" applyBorder="1"/>
    <xf numFmtId="164" fontId="6" fillId="0" borderId="2" xfId="0" applyNumberFormat="1" applyFont="1" applyBorder="1"/>
    <xf numFmtId="164" fontId="6" fillId="0" borderId="0" xfId="0" applyNumberFormat="1" applyFont="1"/>
    <xf numFmtId="0" fontId="6" fillId="0" borderId="32" xfId="0" applyFont="1" applyBorder="1"/>
    <xf numFmtId="3" fontId="6" fillId="0" borderId="33" xfId="0" applyNumberFormat="1" applyFont="1" applyBorder="1"/>
    <xf numFmtId="3" fontId="6" fillId="0" borderId="3" xfId="0" applyNumberFormat="1" applyFont="1" applyBorder="1"/>
    <xf numFmtId="164" fontId="6" fillId="2" borderId="3" xfId="0" applyNumberFormat="1" applyFont="1" applyFill="1" applyBorder="1"/>
    <xf numFmtId="3" fontId="6" fillId="0" borderId="34" xfId="0" applyNumberFormat="1" applyFont="1" applyBorder="1"/>
    <xf numFmtId="3" fontId="8" fillId="0" borderId="0" xfId="0" applyNumberFormat="1" applyFont="1"/>
    <xf numFmtId="3" fontId="8" fillId="0" borderId="2" xfId="0" applyNumberFormat="1" applyFont="1" applyBorder="1"/>
    <xf numFmtId="3" fontId="8" fillId="0" borderId="31" xfId="0" applyNumberFormat="1" applyFont="1" applyBorder="1"/>
    <xf numFmtId="4" fontId="7" fillId="0" borderId="0" xfId="0" applyNumberFormat="1" applyFont="1"/>
    <xf numFmtId="164" fontId="7" fillId="0" borderId="0" xfId="0" applyNumberFormat="1" applyFont="1"/>
    <xf numFmtId="3" fontId="8" fillId="0" borderId="4" xfId="0" applyNumberFormat="1" applyFont="1" applyBorder="1"/>
    <xf numFmtId="0" fontId="8" fillId="0" borderId="24" xfId="0" applyFont="1" applyBorder="1"/>
    <xf numFmtId="3" fontId="8" fillId="0" borderId="5" xfId="0" applyNumberFormat="1" applyFont="1" applyBorder="1"/>
    <xf numFmtId="0" fontId="7" fillId="0" borderId="6" xfId="0" applyFont="1" applyBorder="1"/>
    <xf numFmtId="4" fontId="8" fillId="0" borderId="26" xfId="0" applyNumberFormat="1" applyFont="1" applyBorder="1"/>
    <xf numFmtId="164" fontId="8" fillId="0" borderId="5" xfId="0" applyNumberFormat="1" applyFont="1" applyBorder="1"/>
    <xf numFmtId="3" fontId="8" fillId="0" borderId="35" xfId="0" applyNumberFormat="1" applyFont="1" applyBorder="1"/>
    <xf numFmtId="3" fontId="6" fillId="2" borderId="3" xfId="0" applyNumberFormat="1" applyFont="1" applyFill="1" applyBorder="1"/>
    <xf numFmtId="3" fontId="6" fillId="0" borderId="36" xfId="0" applyNumberFormat="1" applyFont="1" applyBorder="1"/>
    <xf numFmtId="3" fontId="6" fillId="2" borderId="33" xfId="0" applyNumberFormat="1" applyFont="1" applyFill="1" applyBorder="1"/>
    <xf numFmtId="3" fontId="6" fillId="2" borderId="34" xfId="0" applyNumberFormat="1" applyFont="1" applyFill="1" applyBorder="1"/>
    <xf numFmtId="3" fontId="8" fillId="2" borderId="2" xfId="0" applyNumberFormat="1" applyFont="1" applyFill="1" applyBorder="1"/>
    <xf numFmtId="3" fontId="8" fillId="2" borderId="0" xfId="0" applyNumberFormat="1" applyFont="1" applyFill="1"/>
    <xf numFmtId="164" fontId="8" fillId="2" borderId="2" xfId="0" applyNumberFormat="1" applyFont="1" applyFill="1" applyBorder="1"/>
    <xf numFmtId="3" fontId="8" fillId="2" borderId="31" xfId="0" applyNumberFormat="1" applyFont="1" applyFill="1" applyBorder="1"/>
    <xf numFmtId="0" fontId="8" fillId="0" borderId="5" xfId="0" applyFont="1" applyBorder="1"/>
    <xf numFmtId="0" fontId="7" fillId="0" borderId="4" xfId="0" applyFont="1" applyBorder="1"/>
    <xf numFmtId="0" fontId="8" fillId="2" borderId="5" xfId="0" applyFont="1" applyFill="1" applyBorder="1"/>
    <xf numFmtId="3" fontId="8" fillId="2" borderId="35" xfId="0" applyNumberFormat="1" applyFont="1" applyFill="1" applyBorder="1"/>
    <xf numFmtId="164" fontId="6" fillId="0" borderId="3" xfId="0" applyNumberFormat="1" applyFont="1" applyBorder="1"/>
    <xf numFmtId="3" fontId="8" fillId="0" borderId="3" xfId="0" applyNumberFormat="1" applyFont="1" applyBorder="1"/>
    <xf numFmtId="3" fontId="8" fillId="0" borderId="5" xfId="0" applyNumberFormat="1" applyFont="1" applyBorder="1" applyAlignment="1">
      <alignment horizontal="right"/>
    </xf>
    <xf numFmtId="4" fontId="8" fillId="0" borderId="26" xfId="0" applyNumberFormat="1" applyFont="1" applyBorder="1" applyAlignment="1">
      <alignment horizontal="right"/>
    </xf>
    <xf numFmtId="164" fontId="8" fillId="2" borderId="5" xfId="0" applyNumberFormat="1" applyFont="1" applyFill="1" applyBorder="1"/>
    <xf numFmtId="3" fontId="8" fillId="0" borderId="6" xfId="0" applyNumberFormat="1" applyFont="1" applyBorder="1"/>
    <xf numFmtId="3" fontId="8" fillId="0" borderId="26" xfId="0" applyNumberFormat="1" applyFont="1" applyBorder="1"/>
    <xf numFmtId="3" fontId="8" fillId="2" borderId="5" xfId="0" applyNumberFormat="1" applyFont="1" applyFill="1" applyBorder="1"/>
    <xf numFmtId="0" fontId="6" fillId="0" borderId="14" xfId="0" applyFont="1" applyBorder="1"/>
    <xf numFmtId="3" fontId="6" fillId="0" borderId="4" xfId="0" applyNumberFormat="1" applyFont="1" applyBorder="1"/>
    <xf numFmtId="3" fontId="8" fillId="0" borderId="0" xfId="0" applyNumberFormat="1" applyFont="1" applyAlignment="1">
      <alignment vertical="center"/>
    </xf>
    <xf numFmtId="3" fontId="8" fillId="0" borderId="2" xfId="0" applyNumberFormat="1" applyFont="1" applyBorder="1" applyAlignment="1">
      <alignment vertical="center"/>
    </xf>
    <xf numFmtId="3" fontId="8" fillId="0" borderId="4" xfId="0" applyNumberFormat="1" applyFont="1" applyBorder="1" applyAlignment="1">
      <alignment vertical="center"/>
    </xf>
    <xf numFmtId="0" fontId="8" fillId="0" borderId="16" xfId="0" applyFont="1" applyBorder="1"/>
    <xf numFmtId="3" fontId="8" fillId="0" borderId="18" xfId="0" applyNumberFormat="1" applyFont="1" applyBorder="1"/>
    <xf numFmtId="3" fontId="8" fillId="0" borderId="17" xfId="0" applyNumberFormat="1" applyFont="1" applyBorder="1"/>
    <xf numFmtId="164" fontId="8" fillId="0" borderId="17" xfId="0" applyNumberFormat="1" applyFont="1" applyBorder="1"/>
    <xf numFmtId="3" fontId="8" fillId="2" borderId="17" xfId="0" applyNumberFormat="1" applyFont="1" applyFill="1" applyBorder="1"/>
    <xf numFmtId="3" fontId="8" fillId="0" borderId="37" xfId="0" applyNumberFormat="1" applyFont="1" applyBorder="1"/>
    <xf numFmtId="0" fontId="7" fillId="2" borderId="0" xfId="0" applyFont="1" applyFill="1"/>
    <xf numFmtId="3" fontId="0" fillId="0" borderId="17" xfId="0" applyNumberFormat="1" applyBorder="1"/>
    <xf numFmtId="0" fontId="2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D1320-785E-4268-9EDE-24370CA41455}">
  <sheetPr>
    <pageSetUpPr fitToPage="1"/>
  </sheetPr>
  <dimension ref="A4:K19"/>
  <sheetViews>
    <sheetView workbookViewId="0">
      <selection activeCell="L9" sqref="L9"/>
    </sheetView>
  </sheetViews>
  <sheetFormatPr baseColWidth="10" defaultRowHeight="15" x14ac:dyDescent="0.25"/>
  <cols>
    <col min="1" max="1" width="23.7109375" customWidth="1"/>
    <col min="2" max="4" width="11.5703125" customWidth="1"/>
    <col min="5" max="5" width="13.5703125" customWidth="1"/>
    <col min="6" max="6" width="13.42578125" customWidth="1"/>
    <col min="7" max="7" width="11.7109375" customWidth="1"/>
    <col min="8" max="8" width="12.85546875" customWidth="1"/>
    <col min="9" max="9" width="10.7109375" customWidth="1"/>
    <col min="10" max="10" width="12.42578125" customWidth="1"/>
    <col min="11" max="11" width="14" customWidth="1"/>
  </cols>
  <sheetData>
    <row r="4" spans="1:11" ht="15.75" x14ac:dyDescent="0.25">
      <c r="A4" s="150" t="s">
        <v>0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</row>
    <row r="8" spans="1:11" s="3" customFormat="1" ht="75" x14ac:dyDescent="0.25">
      <c r="A8" s="1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1" t="s">
        <v>6</v>
      </c>
      <c r="G8" s="1" t="s">
        <v>7</v>
      </c>
      <c r="H8" s="1" t="s">
        <v>8</v>
      </c>
      <c r="I8" s="1" t="s">
        <v>9</v>
      </c>
      <c r="J8" s="1" t="s">
        <v>10</v>
      </c>
      <c r="K8" s="1" t="s">
        <v>11</v>
      </c>
    </row>
    <row r="9" spans="1:11" x14ac:dyDescent="0.25">
      <c r="A9" s="4"/>
      <c r="B9" s="5"/>
      <c r="C9" s="5"/>
      <c r="D9" s="5"/>
      <c r="F9" s="6"/>
      <c r="G9" s="6"/>
      <c r="H9" s="6"/>
      <c r="J9" s="6"/>
      <c r="K9" s="6"/>
    </row>
    <row r="10" spans="1:11" x14ac:dyDescent="0.25">
      <c r="A10" s="7"/>
      <c r="B10" s="8">
        <f>B13+B15</f>
        <v>59227000</v>
      </c>
      <c r="C10" s="8">
        <f>C13+C15</f>
        <v>8742441</v>
      </c>
      <c r="D10" s="8">
        <f>D13+D15</f>
        <v>50484559</v>
      </c>
      <c r="E10" s="9">
        <f>E13+E15</f>
        <v>53820297</v>
      </c>
      <c r="F10" s="8">
        <f>F13+F15</f>
        <v>38997615.359999999</v>
      </c>
      <c r="G10" s="8">
        <f>F10/E10*100</f>
        <v>72.458937489698357</v>
      </c>
      <c r="H10" s="8">
        <f>H13+H15</f>
        <v>26463971.109999996</v>
      </c>
      <c r="I10" s="8">
        <f>I13+I15</f>
        <v>25023598.240000002</v>
      </c>
      <c r="J10" s="8">
        <f>J13+J15</f>
        <v>14822681.640000001</v>
      </c>
      <c r="K10" s="10">
        <f>D10-F10</f>
        <v>11486943.640000001</v>
      </c>
    </row>
    <row r="11" spans="1:11" x14ac:dyDescent="0.25">
      <c r="A11" s="4"/>
      <c r="B11" s="4"/>
      <c r="C11" s="4"/>
      <c r="D11" s="4"/>
      <c r="F11" s="4"/>
      <c r="G11" s="8"/>
      <c r="H11" s="8"/>
      <c r="J11" s="8"/>
      <c r="K11" s="4"/>
    </row>
    <row r="12" spans="1:11" x14ac:dyDescent="0.25">
      <c r="A12" s="4"/>
      <c r="B12" s="4"/>
      <c r="C12" s="4"/>
      <c r="D12" s="4"/>
      <c r="F12" s="4"/>
      <c r="G12" s="8"/>
      <c r="H12" s="8"/>
      <c r="J12" s="8"/>
      <c r="K12" s="4"/>
    </row>
    <row r="13" spans="1:11" x14ac:dyDescent="0.25">
      <c r="A13" s="4" t="s">
        <v>12</v>
      </c>
      <c r="B13" s="11">
        <v>7301100</v>
      </c>
      <c r="C13" s="11">
        <v>691196</v>
      </c>
      <c r="D13" s="11">
        <f>B13-C13</f>
        <v>6609904</v>
      </c>
      <c r="E13" s="12">
        <v>5689712</v>
      </c>
      <c r="F13" s="11">
        <v>4797038.46</v>
      </c>
      <c r="G13" s="13">
        <f>F13/E13*100</f>
        <v>84.310742969064165</v>
      </c>
      <c r="H13" s="13">
        <v>4679229.7</v>
      </c>
      <c r="I13" s="14">
        <v>4564204.4000000004</v>
      </c>
      <c r="J13" s="15">
        <f>E13-F13</f>
        <v>892673.54</v>
      </c>
      <c r="K13" s="11">
        <f>D13-F13</f>
        <v>1812865.54</v>
      </c>
    </row>
    <row r="14" spans="1:11" x14ac:dyDescent="0.25">
      <c r="A14" s="4"/>
      <c r="B14" s="11"/>
      <c r="C14" s="11"/>
      <c r="D14" s="11"/>
      <c r="E14" s="16"/>
      <c r="F14" s="11"/>
      <c r="G14" s="13"/>
      <c r="H14" s="13"/>
      <c r="I14" s="16"/>
      <c r="J14" s="15"/>
      <c r="K14" s="4"/>
    </row>
    <row r="15" spans="1:11" x14ac:dyDescent="0.25">
      <c r="A15" s="4" t="s">
        <v>13</v>
      </c>
      <c r="B15" s="11">
        <f>39511175+10407625+2007100</f>
        <v>51925900</v>
      </c>
      <c r="C15" s="11">
        <v>8051245</v>
      </c>
      <c r="D15" s="11">
        <f t="shared" ref="D15" si="0">B15-C15</f>
        <v>43874655</v>
      </c>
      <c r="E15" s="12">
        <f>37299086+10831499</f>
        <v>48130585</v>
      </c>
      <c r="F15" s="11">
        <f>27942695.48+5232169.09+1025712.33</f>
        <v>34200576.899999999</v>
      </c>
      <c r="G15" s="13">
        <f>F15/E15*100</f>
        <v>71.057887411923204</v>
      </c>
      <c r="H15" s="13">
        <f>16994685.86+4035416.72+754638.83</f>
        <v>21784741.409999996</v>
      </c>
      <c r="I15" s="16">
        <f>16397789.98+3321213.93+740389.93</f>
        <v>20459393.84</v>
      </c>
      <c r="J15" s="15">
        <f>E15-F15</f>
        <v>13930008.100000001</v>
      </c>
      <c r="K15" s="11">
        <f>D15-F15</f>
        <v>9674078.1000000015</v>
      </c>
    </row>
    <row r="16" spans="1:11" x14ac:dyDescent="0.25">
      <c r="A16" s="17"/>
      <c r="B16" s="18"/>
      <c r="C16" s="18"/>
      <c r="D16" s="18"/>
      <c r="E16" s="19"/>
      <c r="F16" s="18"/>
      <c r="G16" s="20"/>
      <c r="H16" s="20"/>
      <c r="I16" s="21"/>
      <c r="J16" s="20"/>
      <c r="K16" s="17"/>
    </row>
    <row r="19" spans="5:9" x14ac:dyDescent="0.25">
      <c r="E19" s="16"/>
      <c r="F19" s="16"/>
      <c r="I19" s="16"/>
    </row>
  </sheetData>
  <mergeCells count="1">
    <mergeCell ref="A4:K4"/>
  </mergeCells>
  <pageMargins left="0.7" right="0.7" top="0.75" bottom="0.75" header="0.3" footer="0.3"/>
  <pageSetup scale="8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D2F5E-A9EB-4120-B0F7-CC776297A6B2}">
  <dimension ref="A1:P37"/>
  <sheetViews>
    <sheetView workbookViewId="0">
      <selection activeCell="L11" sqref="L11"/>
    </sheetView>
  </sheetViews>
  <sheetFormatPr baseColWidth="10" defaultRowHeight="15" x14ac:dyDescent="0.25"/>
  <cols>
    <col min="1" max="1" width="27.42578125" customWidth="1"/>
    <col min="2" max="2" width="13.5703125" customWidth="1"/>
    <col min="3" max="4" width="11.7109375" customWidth="1"/>
    <col min="5" max="5" width="9.85546875" customWidth="1"/>
    <col min="6" max="6" width="10" customWidth="1"/>
    <col min="7" max="7" width="12" customWidth="1"/>
    <col min="8" max="8" width="12.7109375" customWidth="1"/>
    <col min="9" max="9" width="10.85546875" customWidth="1"/>
    <col min="10" max="10" width="10.42578125" customWidth="1"/>
    <col min="11" max="11" width="9.85546875" customWidth="1"/>
  </cols>
  <sheetData>
    <row r="1" spans="1:16" x14ac:dyDescent="0.25">
      <c r="A1" s="22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6" ht="15.75" thickBot="1" x14ac:dyDescent="0.3">
      <c r="A2" s="151" t="s">
        <v>14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spans="1:16" ht="51.75" customHeight="1" x14ac:dyDescent="0.25">
      <c r="A3" s="24" t="s">
        <v>15</v>
      </c>
      <c r="B3" s="25" t="s">
        <v>16</v>
      </c>
      <c r="C3" s="26" t="s">
        <v>17</v>
      </c>
      <c r="D3" s="26" t="s">
        <v>18</v>
      </c>
      <c r="E3" s="25" t="s">
        <v>19</v>
      </c>
      <c r="F3" s="27" t="s">
        <v>20</v>
      </c>
      <c r="G3" s="27" t="s">
        <v>21</v>
      </c>
      <c r="H3" s="27" t="s">
        <v>22</v>
      </c>
      <c r="I3" s="28" t="s">
        <v>9</v>
      </c>
      <c r="J3" s="27" t="s">
        <v>23</v>
      </c>
      <c r="K3" s="29" t="s">
        <v>24</v>
      </c>
    </row>
    <row r="4" spans="1:16" x14ac:dyDescent="0.25">
      <c r="A4" s="30"/>
      <c r="B4" s="6"/>
      <c r="C4" s="31"/>
      <c r="D4" s="6"/>
      <c r="F4" s="6"/>
      <c r="G4" s="6"/>
      <c r="H4" s="6"/>
      <c r="I4" s="6"/>
      <c r="J4" s="6"/>
      <c r="K4" s="32"/>
    </row>
    <row r="5" spans="1:16" x14ac:dyDescent="0.25">
      <c r="A5" s="33" t="s">
        <v>25</v>
      </c>
      <c r="B5" s="34">
        <f>B7+B12+B20+B30+B33</f>
        <v>7301100</v>
      </c>
      <c r="C5" s="34">
        <f>C7+C12+C20+C30+C33</f>
        <v>691196</v>
      </c>
      <c r="D5" s="34">
        <f>B5-C5</f>
        <v>6609904</v>
      </c>
      <c r="E5" s="35">
        <f>E7+E12+E20+E30+E33</f>
        <v>5689712</v>
      </c>
      <c r="F5" s="34">
        <f>F7+F12+F20+F30+F33</f>
        <v>4797038.459999999</v>
      </c>
      <c r="G5" s="34">
        <f>F5/E5*100</f>
        <v>84.310742969064151</v>
      </c>
      <c r="H5" s="34">
        <f>H7+H12+H20+H30+H33</f>
        <v>4679229.6999999993</v>
      </c>
      <c r="I5" s="34">
        <f>I7+I12+I20+I30+I33</f>
        <v>4564204.3999999994</v>
      </c>
      <c r="J5" s="34">
        <f>E5-F5</f>
        <v>892673.54000000097</v>
      </c>
      <c r="K5" s="36">
        <f>D5-F5</f>
        <v>1812865.540000001</v>
      </c>
    </row>
    <row r="6" spans="1:16" ht="15.75" thickBot="1" x14ac:dyDescent="0.3">
      <c r="A6" s="37"/>
      <c r="B6" s="38"/>
      <c r="C6" s="38"/>
      <c r="D6" s="38"/>
      <c r="E6" s="39"/>
      <c r="F6" s="38"/>
      <c r="G6" s="40"/>
      <c r="H6" s="40"/>
      <c r="I6" s="40"/>
      <c r="J6" s="40"/>
      <c r="K6" s="41"/>
      <c r="L6" s="42" t="s">
        <v>26</v>
      </c>
    </row>
    <row r="7" spans="1:16" x14ac:dyDescent="0.25">
      <c r="A7" s="43" t="s">
        <v>27</v>
      </c>
      <c r="B7" s="44">
        <f>SUM(B8:B11)</f>
        <v>5884124</v>
      </c>
      <c r="C7" s="44">
        <f>SUM(C8:C11)</f>
        <v>100000</v>
      </c>
      <c r="D7" s="45">
        <f>SUM(D8:D11)</f>
        <v>4416919</v>
      </c>
      <c r="E7" s="45">
        <f>SUM(E8:E11)</f>
        <v>4416919</v>
      </c>
      <c r="F7" s="45">
        <f>SUM(F8:F11)</f>
        <v>4048509.57</v>
      </c>
      <c r="G7" s="46">
        <f>F7/E7*100</f>
        <v>91.659130946254621</v>
      </c>
      <c r="H7" s="44">
        <f>SUM(H8:H11)</f>
        <v>4048509.57</v>
      </c>
      <c r="I7" s="47">
        <f>SUM(I8:I11)</f>
        <v>3946863.7800000003</v>
      </c>
      <c r="J7" s="44">
        <f>SUM(J8:J11)</f>
        <v>368409.43</v>
      </c>
      <c r="K7" s="48">
        <f>SUM(K8:K11)</f>
        <v>368409.43</v>
      </c>
    </row>
    <row r="8" spans="1:16" x14ac:dyDescent="0.25">
      <c r="A8" s="30" t="s">
        <v>28</v>
      </c>
      <c r="B8" s="11">
        <v>4806401</v>
      </c>
      <c r="C8" s="11">
        <f>80073.3+3.16</f>
        <v>80076.460000000006</v>
      </c>
      <c r="D8" s="12">
        <f>3580269+17242</f>
        <v>3597511</v>
      </c>
      <c r="E8" s="12">
        <v>3597511</v>
      </c>
      <c r="F8" s="11">
        <v>3332131.79</v>
      </c>
      <c r="G8" s="49">
        <f>F8/E8*100</f>
        <v>92.623255078302748</v>
      </c>
      <c r="H8" s="11">
        <v>3332131.79</v>
      </c>
      <c r="I8" s="11">
        <v>3234804.56</v>
      </c>
      <c r="J8" s="11">
        <f>E8-F8</f>
        <v>265379.20999999996</v>
      </c>
      <c r="K8" s="50">
        <f>D8-F8</f>
        <v>265379.20999999996</v>
      </c>
    </row>
    <row r="9" spans="1:16" x14ac:dyDescent="0.25">
      <c r="A9" s="30" t="s">
        <v>29</v>
      </c>
      <c r="B9" s="11">
        <v>108433</v>
      </c>
      <c r="C9" s="11">
        <f>22.88+1632.24</f>
        <v>1655.1200000000001</v>
      </c>
      <c r="D9" s="12">
        <f>80833+1200</f>
        <v>82033</v>
      </c>
      <c r="E9" s="12">
        <v>82033</v>
      </c>
      <c r="F9" s="11">
        <v>78533.33</v>
      </c>
      <c r="G9" s="49">
        <f t="shared" ref="G9:G29" si="0">F9/E9*100</f>
        <v>95.733826630746165</v>
      </c>
      <c r="H9" s="11">
        <v>78533.33</v>
      </c>
      <c r="I9" s="51">
        <v>76696.179999999993</v>
      </c>
      <c r="J9" s="11">
        <f t="shared" ref="J9:J35" si="1">E9-F9</f>
        <v>3499.6699999999983</v>
      </c>
      <c r="K9" s="50">
        <f t="shared" ref="K9:K35" si="2">D9-F9</f>
        <v>3499.6699999999983</v>
      </c>
      <c r="P9" t="s">
        <v>26</v>
      </c>
    </row>
    <row r="10" spans="1:16" x14ac:dyDescent="0.25">
      <c r="A10" s="30" t="s">
        <v>30</v>
      </c>
      <c r="B10" s="11">
        <v>113125</v>
      </c>
      <c r="C10" s="11">
        <f>2947.18+0.88</f>
        <v>2948.06</v>
      </c>
      <c r="D10" s="12">
        <f>75350+100</f>
        <v>75450</v>
      </c>
      <c r="E10" s="12">
        <v>75450</v>
      </c>
      <c r="F10" s="11">
        <v>68892.38</v>
      </c>
      <c r="G10" s="49">
        <f t="shared" si="0"/>
        <v>91.308654738237252</v>
      </c>
      <c r="H10" s="11">
        <v>68892.38</v>
      </c>
      <c r="I10" s="51">
        <v>68686.759999999995</v>
      </c>
      <c r="J10" s="11">
        <f t="shared" si="1"/>
        <v>6557.6199999999953</v>
      </c>
      <c r="K10" s="50">
        <f t="shared" si="2"/>
        <v>6557.6199999999953</v>
      </c>
      <c r="L10" s="42" t="s">
        <v>26</v>
      </c>
    </row>
    <row r="11" spans="1:16" x14ac:dyDescent="0.25">
      <c r="A11" s="52" t="s">
        <v>31</v>
      </c>
      <c r="B11" s="53">
        <v>856165</v>
      </c>
      <c r="C11" s="53">
        <f>1446.71+12217.28+1351.81+292.35+12.21</f>
        <v>15320.36</v>
      </c>
      <c r="D11" s="19">
        <f>454186+54405+71405+10881+71048</f>
        <v>661925</v>
      </c>
      <c r="E11" s="19">
        <v>661925</v>
      </c>
      <c r="F11" s="53">
        <v>568952.06999999995</v>
      </c>
      <c r="G11" s="54">
        <f t="shared" si="0"/>
        <v>85.954159459153217</v>
      </c>
      <c r="H11" s="53">
        <v>568952.06999999995</v>
      </c>
      <c r="I11" s="55">
        <v>566676.28</v>
      </c>
      <c r="J11" s="53">
        <f t="shared" si="1"/>
        <v>92972.930000000051</v>
      </c>
      <c r="K11" s="56">
        <f t="shared" si="2"/>
        <v>92972.930000000051</v>
      </c>
    </row>
    <row r="12" spans="1:16" x14ac:dyDescent="0.25">
      <c r="A12" s="57" t="s">
        <v>32</v>
      </c>
      <c r="B12" s="34">
        <f>SUM(B13:B19)</f>
        <v>1092842</v>
      </c>
      <c r="C12" s="34">
        <f>SUM(C13:C19)</f>
        <v>465570</v>
      </c>
      <c r="D12" s="58">
        <f>SUM(D13:D19)</f>
        <v>983909</v>
      </c>
      <c r="E12" s="58">
        <f>SUM(E13:E19)</f>
        <v>983909</v>
      </c>
      <c r="F12" s="34">
        <f>SUM(F13:F19)</f>
        <v>554394.32999999996</v>
      </c>
      <c r="G12" s="59">
        <f t="shared" si="0"/>
        <v>56.346098063946968</v>
      </c>
      <c r="H12" s="34">
        <f>SUM(H13:H19)</f>
        <v>441425.57000000007</v>
      </c>
      <c r="I12" s="34">
        <f>SUM(I13:I19)</f>
        <v>433335.06</v>
      </c>
      <c r="J12" s="10">
        <f t="shared" si="1"/>
        <v>429514.67000000004</v>
      </c>
      <c r="K12" s="60">
        <f t="shared" ref="K12" si="3">B12-F12</f>
        <v>538447.67000000004</v>
      </c>
    </row>
    <row r="13" spans="1:16" x14ac:dyDescent="0.25">
      <c r="A13" s="30" t="s">
        <v>33</v>
      </c>
      <c r="B13" s="11">
        <v>173081</v>
      </c>
      <c r="C13" s="11">
        <v>150000</v>
      </c>
      <c r="D13" s="12">
        <v>97780</v>
      </c>
      <c r="E13" s="12">
        <v>97780</v>
      </c>
      <c r="F13" s="11">
        <v>22476.720000000001</v>
      </c>
      <c r="G13" s="49">
        <f>F13/E13*100</f>
        <v>22.987032112906526</v>
      </c>
      <c r="H13" s="51">
        <v>6491.1</v>
      </c>
      <c r="I13" s="12">
        <v>6491.1</v>
      </c>
      <c r="J13" s="11">
        <f t="shared" si="1"/>
        <v>75303.28</v>
      </c>
      <c r="K13" s="50">
        <f t="shared" si="2"/>
        <v>75303.28</v>
      </c>
    </row>
    <row r="14" spans="1:16" x14ac:dyDescent="0.25">
      <c r="A14" s="30" t="s">
        <v>34</v>
      </c>
      <c r="B14" s="11">
        <v>305790</v>
      </c>
      <c r="C14" s="11">
        <v>102970</v>
      </c>
      <c r="D14" s="12">
        <v>296148</v>
      </c>
      <c r="E14" s="12">
        <v>296148</v>
      </c>
      <c r="F14" s="11">
        <v>159545.85999999999</v>
      </c>
      <c r="G14" s="49">
        <f t="shared" si="0"/>
        <v>53.873691532612064</v>
      </c>
      <c r="H14" s="51">
        <v>139598.98000000001</v>
      </c>
      <c r="I14" s="61">
        <v>139598.98000000001</v>
      </c>
      <c r="J14" s="11">
        <f t="shared" si="1"/>
        <v>136602.14000000001</v>
      </c>
      <c r="K14" s="50">
        <f t="shared" si="2"/>
        <v>136602.14000000001</v>
      </c>
    </row>
    <row r="15" spans="1:16" x14ac:dyDescent="0.25">
      <c r="A15" s="30" t="s">
        <v>35</v>
      </c>
      <c r="B15" s="11">
        <v>1000</v>
      </c>
      <c r="C15" s="11">
        <v>1000</v>
      </c>
      <c r="D15" s="12">
        <v>750</v>
      </c>
      <c r="E15" s="12">
        <v>750</v>
      </c>
      <c r="F15" s="11">
        <v>0</v>
      </c>
      <c r="G15" s="49">
        <f t="shared" si="0"/>
        <v>0</v>
      </c>
      <c r="H15" s="51">
        <v>0</v>
      </c>
      <c r="I15" s="12">
        <v>0</v>
      </c>
      <c r="J15" s="11">
        <f t="shared" si="1"/>
        <v>750</v>
      </c>
      <c r="K15" s="50">
        <f t="shared" si="2"/>
        <v>750</v>
      </c>
      <c r="L15" t="s">
        <v>26</v>
      </c>
    </row>
    <row r="16" spans="1:16" x14ac:dyDescent="0.25">
      <c r="A16" s="30" t="s">
        <v>36</v>
      </c>
      <c r="B16" s="11">
        <v>20500</v>
      </c>
      <c r="C16" s="11">
        <v>19000</v>
      </c>
      <c r="D16" s="12">
        <v>13125</v>
      </c>
      <c r="E16" s="12">
        <v>13125</v>
      </c>
      <c r="F16" s="11">
        <v>370</v>
      </c>
      <c r="G16" s="49">
        <f t="shared" si="0"/>
        <v>2.8190476190476188</v>
      </c>
      <c r="H16" s="51">
        <v>370</v>
      </c>
      <c r="I16" s="62">
        <v>370</v>
      </c>
      <c r="J16" s="11">
        <f t="shared" si="1"/>
        <v>12755</v>
      </c>
      <c r="K16" s="50">
        <f t="shared" si="2"/>
        <v>12755</v>
      </c>
    </row>
    <row r="17" spans="1:11" x14ac:dyDescent="0.25">
      <c r="A17" s="30" t="s">
        <v>37</v>
      </c>
      <c r="B17" s="11">
        <v>30093</v>
      </c>
      <c r="C17" s="11">
        <v>17000</v>
      </c>
      <c r="D17" s="12">
        <v>24843</v>
      </c>
      <c r="E17" s="12">
        <v>24843</v>
      </c>
      <c r="F17" s="11">
        <v>10634.75</v>
      </c>
      <c r="G17" s="49">
        <f t="shared" si="0"/>
        <v>42.807833192448577</v>
      </c>
      <c r="H17" s="51">
        <v>10634.75</v>
      </c>
      <c r="I17" s="61">
        <v>10634.75</v>
      </c>
      <c r="J17" s="11">
        <f t="shared" si="1"/>
        <v>14208.25</v>
      </c>
      <c r="K17" s="50">
        <f t="shared" si="2"/>
        <v>14208.25</v>
      </c>
    </row>
    <row r="18" spans="1:11" x14ac:dyDescent="0.25">
      <c r="A18" s="30" t="s">
        <v>38</v>
      </c>
      <c r="B18" s="11">
        <v>364241</v>
      </c>
      <c r="C18" s="11">
        <v>119600</v>
      </c>
      <c r="D18" s="12">
        <v>353126</v>
      </c>
      <c r="E18" s="12">
        <v>353126</v>
      </c>
      <c r="F18" s="11">
        <v>225385.52</v>
      </c>
      <c r="G18" s="49">
        <f t="shared" si="0"/>
        <v>63.825807218953003</v>
      </c>
      <c r="H18" s="51">
        <v>171161.89</v>
      </c>
      <c r="I18" s="12">
        <v>168536.74</v>
      </c>
      <c r="J18" s="11">
        <f t="shared" si="1"/>
        <v>127740.48000000001</v>
      </c>
      <c r="K18" s="50">
        <f t="shared" si="2"/>
        <v>127740.48000000001</v>
      </c>
    </row>
    <row r="19" spans="1:11" x14ac:dyDescent="0.25">
      <c r="A19" s="52" t="s">
        <v>39</v>
      </c>
      <c r="B19" s="53">
        <v>198137</v>
      </c>
      <c r="C19" s="53">
        <v>56000</v>
      </c>
      <c r="D19" s="19">
        <v>198137</v>
      </c>
      <c r="E19" s="19">
        <v>198137</v>
      </c>
      <c r="F19" s="53">
        <v>135981.48000000001</v>
      </c>
      <c r="G19" s="54">
        <f t="shared" si="0"/>
        <v>68.630028717503549</v>
      </c>
      <c r="H19" s="55">
        <v>113168.85</v>
      </c>
      <c r="I19" s="63">
        <v>107703.49</v>
      </c>
      <c r="J19" s="53">
        <f t="shared" si="1"/>
        <v>62155.51999999999</v>
      </c>
      <c r="K19" s="56">
        <f t="shared" si="2"/>
        <v>62155.51999999999</v>
      </c>
    </row>
    <row r="20" spans="1:11" x14ac:dyDescent="0.25">
      <c r="A20" s="57" t="s">
        <v>40</v>
      </c>
      <c r="B20" s="34">
        <f>SUM(B21:B29)</f>
        <v>244242</v>
      </c>
      <c r="C20" s="34">
        <f>SUM(C21:C29)</f>
        <v>119782.99999999999</v>
      </c>
      <c r="D20" s="58">
        <f>SUM(D21:D29)</f>
        <v>208992</v>
      </c>
      <c r="E20" s="58">
        <f>SUM(E21:E29)</f>
        <v>208992</v>
      </c>
      <c r="F20" s="34">
        <f>SUM(F21:F29)</f>
        <v>120118.14000000001</v>
      </c>
      <c r="G20" s="59">
        <f t="shared" si="0"/>
        <v>57.47499425815343</v>
      </c>
      <c r="H20" s="34">
        <f>SUM(H21:H29)</f>
        <v>117078.14000000001</v>
      </c>
      <c r="I20" s="35">
        <f>SUM(I21:I29)</f>
        <v>113086.64000000001</v>
      </c>
      <c r="J20" s="10">
        <f t="shared" si="1"/>
        <v>88873.859999999986</v>
      </c>
      <c r="K20" s="60">
        <f>SUM(K21:K29)</f>
        <v>88873.86</v>
      </c>
    </row>
    <row r="21" spans="1:11" x14ac:dyDescent="0.25">
      <c r="A21" s="30" t="s">
        <v>41</v>
      </c>
      <c r="B21" s="11">
        <v>87045</v>
      </c>
      <c r="C21" s="11">
        <v>9202.15</v>
      </c>
      <c r="D21" s="12">
        <v>87045</v>
      </c>
      <c r="E21" s="12">
        <v>87045</v>
      </c>
      <c r="F21" s="11">
        <v>73502.850000000006</v>
      </c>
      <c r="G21" s="49">
        <f t="shared" si="0"/>
        <v>84.44235740134414</v>
      </c>
      <c r="H21" s="51">
        <v>70462.850000000006</v>
      </c>
      <c r="I21" s="64">
        <v>67112.850000000006</v>
      </c>
      <c r="J21" s="11">
        <f t="shared" si="1"/>
        <v>13542.149999999994</v>
      </c>
      <c r="K21" s="50">
        <f t="shared" si="2"/>
        <v>13542.149999999994</v>
      </c>
    </row>
    <row r="22" spans="1:11" x14ac:dyDescent="0.25">
      <c r="A22" s="65" t="s">
        <v>42</v>
      </c>
      <c r="B22" s="11">
        <v>700</v>
      </c>
      <c r="C22" s="11">
        <v>34.4</v>
      </c>
      <c r="D22" s="12">
        <v>700</v>
      </c>
      <c r="E22" s="12">
        <v>700</v>
      </c>
      <c r="F22" s="11">
        <v>665.6</v>
      </c>
      <c r="G22" s="49">
        <f t="shared" si="0"/>
        <v>95.085714285714289</v>
      </c>
      <c r="H22" s="51">
        <v>665.6</v>
      </c>
      <c r="I22" s="64">
        <v>665.6</v>
      </c>
      <c r="J22" s="11">
        <f t="shared" si="1"/>
        <v>34.399999999999977</v>
      </c>
      <c r="K22" s="50">
        <f t="shared" si="2"/>
        <v>34.399999999999977</v>
      </c>
    </row>
    <row r="23" spans="1:11" x14ac:dyDescent="0.25">
      <c r="A23" s="30" t="s">
        <v>43</v>
      </c>
      <c r="B23" s="11">
        <v>29000</v>
      </c>
      <c r="C23" s="11">
        <v>19821.7</v>
      </c>
      <c r="D23" s="12">
        <v>21250</v>
      </c>
      <c r="E23" s="12">
        <v>21250</v>
      </c>
      <c r="F23" s="51">
        <v>9177.44</v>
      </c>
      <c r="G23" s="49">
        <f t="shared" si="0"/>
        <v>43.187952941176469</v>
      </c>
      <c r="H23" s="51">
        <v>9177.44</v>
      </c>
      <c r="I23" s="64">
        <v>9177.44</v>
      </c>
      <c r="J23" s="11">
        <f t="shared" si="1"/>
        <v>12072.56</v>
      </c>
      <c r="K23" s="50">
        <f t="shared" si="2"/>
        <v>12072.56</v>
      </c>
    </row>
    <row r="24" spans="1:11" x14ac:dyDescent="0.25">
      <c r="A24" s="30" t="s">
        <v>44</v>
      </c>
      <c r="B24" s="11">
        <v>19900</v>
      </c>
      <c r="C24" s="11">
        <v>14888.56</v>
      </c>
      <c r="D24" s="12">
        <v>14275</v>
      </c>
      <c r="E24" s="12">
        <v>14275</v>
      </c>
      <c r="F24" s="11">
        <v>5011.4399999999996</v>
      </c>
      <c r="G24" s="49">
        <f t="shared" si="0"/>
        <v>35.106409807355519</v>
      </c>
      <c r="H24" s="51">
        <v>5011.4399999999996</v>
      </c>
      <c r="I24" s="64">
        <v>5011.4399999999996</v>
      </c>
      <c r="J24" s="11">
        <f t="shared" si="1"/>
        <v>9263.5600000000013</v>
      </c>
      <c r="K24" s="50">
        <f t="shared" si="2"/>
        <v>9263.5600000000013</v>
      </c>
    </row>
    <row r="25" spans="1:11" x14ac:dyDescent="0.25">
      <c r="A25" s="65" t="s">
        <v>45</v>
      </c>
      <c r="B25" s="11">
        <v>14000</v>
      </c>
      <c r="C25" s="11">
        <v>5558.35</v>
      </c>
      <c r="D25" s="12">
        <v>12500</v>
      </c>
      <c r="E25" s="12">
        <v>12500</v>
      </c>
      <c r="F25" s="11">
        <v>8441.65</v>
      </c>
      <c r="G25" s="49">
        <f t="shared" si="0"/>
        <v>67.533199999999994</v>
      </c>
      <c r="H25" s="51">
        <v>8441.65</v>
      </c>
      <c r="I25" s="64">
        <v>8441.65</v>
      </c>
      <c r="J25" s="11">
        <f t="shared" si="1"/>
        <v>4058.3500000000004</v>
      </c>
      <c r="K25" s="50">
        <f t="shared" si="2"/>
        <v>4058.3500000000004</v>
      </c>
    </row>
    <row r="26" spans="1:11" x14ac:dyDescent="0.25">
      <c r="A26" s="66" t="s">
        <v>46</v>
      </c>
      <c r="B26" s="11">
        <v>4000</v>
      </c>
      <c r="C26" s="11">
        <v>3592.58</v>
      </c>
      <c r="D26" s="12">
        <v>3000</v>
      </c>
      <c r="E26" s="12">
        <v>3000</v>
      </c>
      <c r="F26" s="11">
        <v>407.42</v>
      </c>
      <c r="G26" s="49">
        <f t="shared" si="0"/>
        <v>13.580666666666666</v>
      </c>
      <c r="H26" s="51">
        <v>407.42</v>
      </c>
      <c r="I26" s="67">
        <v>407.42</v>
      </c>
      <c r="J26" s="11">
        <f t="shared" si="1"/>
        <v>2592.58</v>
      </c>
      <c r="K26" s="50">
        <f t="shared" si="2"/>
        <v>2592.58</v>
      </c>
    </row>
    <row r="27" spans="1:11" x14ac:dyDescent="0.25">
      <c r="A27" s="30" t="s">
        <v>47</v>
      </c>
      <c r="B27" s="11">
        <v>5500</v>
      </c>
      <c r="C27" s="11">
        <v>4768.7</v>
      </c>
      <c r="D27" s="12">
        <v>4125</v>
      </c>
      <c r="E27" s="12">
        <v>4125</v>
      </c>
      <c r="F27" s="11">
        <v>731.3</v>
      </c>
      <c r="G27" s="49">
        <f>F27/E27*100</f>
        <v>17.728484848484847</v>
      </c>
      <c r="H27" s="51">
        <v>731.3</v>
      </c>
      <c r="I27" s="64">
        <v>731.3</v>
      </c>
      <c r="J27" s="11">
        <f t="shared" si="1"/>
        <v>3393.7</v>
      </c>
      <c r="K27" s="50">
        <f t="shared" si="2"/>
        <v>3393.7</v>
      </c>
    </row>
    <row r="28" spans="1:11" x14ac:dyDescent="0.25">
      <c r="A28" s="30" t="s">
        <v>48</v>
      </c>
      <c r="B28" s="11">
        <v>56097</v>
      </c>
      <c r="C28" s="11">
        <v>35617.949999999997</v>
      </c>
      <c r="D28" s="12">
        <v>50597</v>
      </c>
      <c r="E28" s="12">
        <v>50597</v>
      </c>
      <c r="F28" s="11">
        <v>20479.05</v>
      </c>
      <c r="G28" s="49">
        <f t="shared" si="0"/>
        <v>40.474830523548825</v>
      </c>
      <c r="H28" s="61">
        <v>20479.05</v>
      </c>
      <c r="I28" s="11">
        <v>19837.55</v>
      </c>
      <c r="J28" s="11">
        <f t="shared" si="1"/>
        <v>30117.95</v>
      </c>
      <c r="K28" s="50">
        <f t="shared" si="2"/>
        <v>30117.95</v>
      </c>
    </row>
    <row r="29" spans="1:11" ht="13.5" customHeight="1" x14ac:dyDescent="0.25">
      <c r="A29" s="52" t="s">
        <v>49</v>
      </c>
      <c r="B29" s="53">
        <v>28000</v>
      </c>
      <c r="C29" s="53">
        <v>26298.61</v>
      </c>
      <c r="D29" s="68">
        <v>15500</v>
      </c>
      <c r="E29" s="68">
        <v>15500</v>
      </c>
      <c r="F29" s="53">
        <v>1701.39</v>
      </c>
      <c r="G29" s="54">
        <f t="shared" si="0"/>
        <v>10.976709677419356</v>
      </c>
      <c r="H29" s="55">
        <v>1701.39</v>
      </c>
      <c r="I29" s="53">
        <v>1701.39</v>
      </c>
      <c r="J29" s="53">
        <f t="shared" si="1"/>
        <v>13798.61</v>
      </c>
      <c r="K29" s="56">
        <f t="shared" si="2"/>
        <v>13798.61</v>
      </c>
    </row>
    <row r="30" spans="1:11" x14ac:dyDescent="0.25">
      <c r="A30" s="69" t="s">
        <v>50</v>
      </c>
      <c r="B30" s="34">
        <f>B31+B32</f>
        <v>4866</v>
      </c>
      <c r="C30" s="34">
        <f>SUM(C31:C32)</f>
        <v>13</v>
      </c>
      <c r="D30" s="35">
        <f t="shared" ref="D30:F30" si="4">D31+D32</f>
        <v>4866</v>
      </c>
      <c r="E30" s="35">
        <f t="shared" si="4"/>
        <v>4866</v>
      </c>
      <c r="F30" s="34">
        <f t="shared" si="4"/>
        <v>4851.67</v>
      </c>
      <c r="G30" s="34">
        <f>F30/E30*100</f>
        <v>99.705507603781342</v>
      </c>
      <c r="H30" s="34">
        <f>H31+H32</f>
        <v>4851.67</v>
      </c>
      <c r="I30" s="34">
        <f>I31+I32</f>
        <v>4851.67</v>
      </c>
      <c r="J30" s="34">
        <f>SUM(J31:J32)</f>
        <v>14.820000000000164</v>
      </c>
      <c r="K30" s="36">
        <f>SUM(K31:K32)</f>
        <v>14.330000000000155</v>
      </c>
    </row>
    <row r="31" spans="1:11" x14ac:dyDescent="0.25">
      <c r="A31" s="70" t="s">
        <v>51</v>
      </c>
      <c r="B31" s="11">
        <v>2993</v>
      </c>
      <c r="C31" s="11">
        <v>12.86</v>
      </c>
      <c r="D31" s="14">
        <v>2993</v>
      </c>
      <c r="E31" s="14">
        <v>2993</v>
      </c>
      <c r="F31" s="51">
        <v>2979.18</v>
      </c>
      <c r="G31" s="51">
        <f t="shared" ref="G31:G32" si="5">F31/E31*100</f>
        <v>99.538255930504505</v>
      </c>
      <c r="H31" s="11">
        <v>2979.18</v>
      </c>
      <c r="I31" s="51">
        <v>2979.18</v>
      </c>
      <c r="J31" s="11">
        <f>E31-F31</f>
        <v>13.820000000000164</v>
      </c>
      <c r="K31" s="50">
        <f t="shared" si="2"/>
        <v>13.820000000000164</v>
      </c>
    </row>
    <row r="32" spans="1:11" ht="15" customHeight="1" x14ac:dyDescent="0.25">
      <c r="A32" s="71" t="s">
        <v>52</v>
      </c>
      <c r="B32" s="53">
        <v>1873</v>
      </c>
      <c r="C32" s="53">
        <f>0.05+0.09</f>
        <v>0.14000000000000001</v>
      </c>
      <c r="D32" s="55">
        <v>1873</v>
      </c>
      <c r="E32" s="55">
        <v>1873</v>
      </c>
      <c r="F32" s="63">
        <v>1872.49</v>
      </c>
      <c r="G32" s="63">
        <f t="shared" si="5"/>
        <v>99.972770955686059</v>
      </c>
      <c r="H32" s="53">
        <v>1872.49</v>
      </c>
      <c r="I32" s="63">
        <v>1872.49</v>
      </c>
      <c r="J32" s="53">
        <v>1</v>
      </c>
      <c r="K32" s="56">
        <f t="shared" si="2"/>
        <v>0.50999999999999091</v>
      </c>
    </row>
    <row r="33" spans="1:11" x14ac:dyDescent="0.25">
      <c r="A33" s="57" t="s">
        <v>53</v>
      </c>
      <c r="B33" s="34">
        <f>B35+B34</f>
        <v>75026</v>
      </c>
      <c r="C33" s="34">
        <f>SUM(C34:C35)</f>
        <v>5830</v>
      </c>
      <c r="D33" s="35">
        <f t="shared" ref="D33:I33" si="6">D35+D34</f>
        <v>75026</v>
      </c>
      <c r="E33" s="35">
        <f t="shared" si="6"/>
        <v>75026</v>
      </c>
      <c r="F33" s="34">
        <f t="shared" si="6"/>
        <v>69164.75</v>
      </c>
      <c r="G33" s="34">
        <f>F33/E33*100</f>
        <v>92.187708261136137</v>
      </c>
      <c r="H33" s="34">
        <f t="shared" si="6"/>
        <v>67364.75</v>
      </c>
      <c r="I33" s="34">
        <f t="shared" si="6"/>
        <v>66067.25</v>
      </c>
      <c r="J33" s="10">
        <f t="shared" si="1"/>
        <v>5861.25</v>
      </c>
      <c r="K33" s="36">
        <f>SUM(K34:K35)</f>
        <v>5861.25</v>
      </c>
    </row>
    <row r="34" spans="1:11" x14ac:dyDescent="0.25">
      <c r="A34" s="70" t="s">
        <v>54</v>
      </c>
      <c r="B34" s="11">
        <v>9200</v>
      </c>
      <c r="C34" s="11">
        <f>0.09+2.83</f>
        <v>2.92</v>
      </c>
      <c r="D34" s="14">
        <v>9200</v>
      </c>
      <c r="E34" s="14">
        <v>9200</v>
      </c>
      <c r="F34" s="51">
        <v>9200</v>
      </c>
      <c r="G34" s="51">
        <f>F34/E34*100</f>
        <v>100</v>
      </c>
      <c r="H34" s="51">
        <v>9200</v>
      </c>
      <c r="I34" s="51">
        <v>9200</v>
      </c>
      <c r="J34" s="11">
        <f t="shared" si="1"/>
        <v>0</v>
      </c>
      <c r="K34" s="50">
        <f t="shared" si="2"/>
        <v>0</v>
      </c>
    </row>
    <row r="35" spans="1:11" ht="15.75" thickBot="1" x14ac:dyDescent="0.3">
      <c r="A35" s="72" t="s">
        <v>55</v>
      </c>
      <c r="B35" s="73">
        <v>65826</v>
      </c>
      <c r="C35" s="73">
        <v>5827.08</v>
      </c>
      <c r="D35" s="74">
        <v>65826</v>
      </c>
      <c r="E35" s="73">
        <v>65826</v>
      </c>
      <c r="F35" s="73">
        <f>69164.75-9200</f>
        <v>59964.75</v>
      </c>
      <c r="G35" s="75">
        <f>F35/E35*100</f>
        <v>91.095843587640147</v>
      </c>
      <c r="H35" s="74">
        <f>67364.75-9200</f>
        <v>58164.75</v>
      </c>
      <c r="I35" s="73">
        <v>56867.25</v>
      </c>
      <c r="J35" s="149">
        <f t="shared" si="1"/>
        <v>5861.25</v>
      </c>
      <c r="K35" s="76">
        <f t="shared" si="2"/>
        <v>5861.25</v>
      </c>
    </row>
    <row r="36" spans="1:11" x14ac:dyDescent="0.25">
      <c r="D36" s="16"/>
    </row>
    <row r="37" spans="1:11" x14ac:dyDescent="0.25">
      <c r="D37" s="16"/>
    </row>
  </sheetData>
  <mergeCells count="1">
    <mergeCell ref="A2:K2"/>
  </mergeCells>
  <pageMargins left="0.70866141732283472" right="0.70866141732283472" top="0.74803149606299213" bottom="0.74803149606299213" header="0.31496062992125984" footer="0.31496062992125984"/>
  <pageSetup scale="85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7074E-9D1E-482E-AE86-7C35B5064511}">
  <sheetPr>
    <pageSetUpPr fitToPage="1"/>
  </sheetPr>
  <dimension ref="A1:P43"/>
  <sheetViews>
    <sheetView tabSelected="1" workbookViewId="0">
      <selection activeCell="D11" sqref="D11"/>
    </sheetView>
  </sheetViews>
  <sheetFormatPr baseColWidth="10" defaultColWidth="7.5703125" defaultRowHeight="12.75" x14ac:dyDescent="0.2"/>
  <cols>
    <col min="1" max="1" width="44.28515625" style="77" customWidth="1"/>
    <col min="2" max="3" width="12.85546875" style="77" customWidth="1"/>
    <col min="4" max="4" width="12.28515625" style="77" customWidth="1"/>
    <col min="5" max="5" width="11" style="77" customWidth="1"/>
    <col min="6" max="6" width="13" style="77" bestFit="1" customWidth="1"/>
    <col min="7" max="7" width="11.5703125" style="77" customWidth="1"/>
    <col min="8" max="8" width="12.7109375" style="77" customWidth="1"/>
    <col min="9" max="10" width="10.28515625" style="148" customWidth="1"/>
    <col min="11" max="11" width="15" style="77" customWidth="1"/>
    <col min="12" max="13" width="12" style="77" bestFit="1" customWidth="1"/>
    <col min="14" max="15" width="7.5703125" style="77"/>
    <col min="16" max="16" width="9.42578125" style="77" bestFit="1" customWidth="1"/>
    <col min="17" max="16384" width="7.5703125" style="77"/>
  </cols>
  <sheetData>
    <row r="1" spans="1:13" ht="15" x14ac:dyDescent="0.25">
      <c r="A1" s="153" t="s">
        <v>56</v>
      </c>
      <c r="B1" s="154"/>
      <c r="C1" s="154"/>
      <c r="D1" s="154"/>
      <c r="E1" s="154"/>
      <c r="F1" s="154"/>
      <c r="G1" s="154"/>
      <c r="H1" s="154"/>
      <c r="I1" s="154"/>
      <c r="J1" s="154"/>
      <c r="K1" s="155"/>
    </row>
    <row r="2" spans="1:13" ht="15.75" thickBot="1" x14ac:dyDescent="0.3">
      <c r="A2" s="78"/>
      <c r="B2" s="79"/>
      <c r="C2" s="79"/>
      <c r="D2" s="79"/>
      <c r="E2" s="79"/>
      <c r="F2" s="79"/>
      <c r="G2" s="79"/>
      <c r="H2" s="79"/>
      <c r="I2" s="80"/>
      <c r="J2" s="80"/>
      <c r="K2" s="81"/>
    </row>
    <row r="3" spans="1:13" ht="59.25" customHeight="1" x14ac:dyDescent="0.2">
      <c r="A3" s="82" t="s">
        <v>57</v>
      </c>
      <c r="B3" s="83" t="s">
        <v>58</v>
      </c>
      <c r="C3" s="84" t="s">
        <v>59</v>
      </c>
      <c r="D3" s="85" t="s">
        <v>60</v>
      </c>
      <c r="E3" s="85" t="s">
        <v>19</v>
      </c>
      <c r="F3" s="86" t="s">
        <v>20</v>
      </c>
      <c r="G3" s="85" t="s">
        <v>61</v>
      </c>
      <c r="H3" s="84" t="s">
        <v>62</v>
      </c>
      <c r="I3" s="83" t="s">
        <v>9</v>
      </c>
      <c r="J3" s="85" t="s">
        <v>63</v>
      </c>
      <c r="K3" s="87" t="s">
        <v>64</v>
      </c>
    </row>
    <row r="4" spans="1:13" ht="15" x14ac:dyDescent="0.25">
      <c r="A4" s="88"/>
      <c r="B4" s="79"/>
      <c r="C4" s="89"/>
      <c r="D4" s="90"/>
      <c r="E4" s="91"/>
      <c r="F4" s="79"/>
      <c r="G4" s="91"/>
      <c r="H4" s="79"/>
      <c r="I4" s="92"/>
      <c r="J4" s="91"/>
      <c r="K4" s="93"/>
    </row>
    <row r="5" spans="1:13" ht="15" x14ac:dyDescent="0.25">
      <c r="A5" s="94" t="s">
        <v>25</v>
      </c>
      <c r="B5" s="95">
        <f>B7+B16+B20+B23+B28+B32+B37+B39+B42</f>
        <v>51925900</v>
      </c>
      <c r="C5" s="96">
        <f>C7+C16+C20+C23+C28+C32+C37+C39+C42</f>
        <v>8051245</v>
      </c>
      <c r="D5" s="96">
        <f>D7+D16+D20+D23+D28+D32+D37+D39+D42</f>
        <v>43874655</v>
      </c>
      <c r="E5" s="96">
        <f>E7+E16+E20+E23+E28+E32+E37+E39+E42</f>
        <v>48131085</v>
      </c>
      <c r="F5" s="95">
        <f>F7+F16+F20+F23+F28+F32+F37+F39+F42</f>
        <v>34200576.899999999</v>
      </c>
      <c r="G5" s="96">
        <f>F5/E5*100</f>
        <v>71.057149241493306</v>
      </c>
      <c r="H5" s="95">
        <f>H7+H16+H20+H23+H28+H32+H37+H39+H42</f>
        <v>21784741.410000004</v>
      </c>
      <c r="I5" s="96">
        <f>I7+I16+I20+I23+I28+I32+I37+I39+I42</f>
        <v>20459393.840000004</v>
      </c>
      <c r="J5" s="96">
        <f>J7+J16+J20+J23+J28+J32+J37+J39+J42</f>
        <v>13930508.1</v>
      </c>
      <c r="K5" s="97">
        <f>D5-F5</f>
        <v>9674078.1000000015</v>
      </c>
    </row>
    <row r="6" spans="1:13" ht="15" x14ac:dyDescent="0.25">
      <c r="A6" s="88"/>
      <c r="B6" s="79"/>
      <c r="C6" s="89"/>
      <c r="D6" s="89"/>
      <c r="E6" s="91"/>
      <c r="F6" s="79"/>
      <c r="G6" s="98"/>
      <c r="H6" s="99"/>
      <c r="I6" s="92"/>
      <c r="J6" s="91"/>
      <c r="K6" s="93"/>
    </row>
    <row r="7" spans="1:13" ht="15" x14ac:dyDescent="0.25">
      <c r="A7" s="100" t="s">
        <v>65</v>
      </c>
      <c r="B7" s="101">
        <f>SUM(B8:B14)</f>
        <v>16020395</v>
      </c>
      <c r="C7" s="102">
        <f>SUM(C8:C14)</f>
        <v>3359635.1500000004</v>
      </c>
      <c r="D7" s="102">
        <f>SUM(D8:D14)</f>
        <v>12660759.85</v>
      </c>
      <c r="E7" s="102">
        <f>SUM(E8:E14)</f>
        <v>15844216</v>
      </c>
      <c r="F7" s="101">
        <f>SUM(F8:F14)</f>
        <v>12060323.720000001</v>
      </c>
      <c r="G7" s="103">
        <f>F7/E7*100</f>
        <v>76.118147594049475</v>
      </c>
      <c r="H7" s="101">
        <f t="shared" ref="H7:K7" si="0">SUM(H8:H14)</f>
        <v>4007835.8600000003</v>
      </c>
      <c r="I7" s="102">
        <f t="shared" si="0"/>
        <v>3922212.46</v>
      </c>
      <c r="J7" s="102">
        <f t="shared" si="0"/>
        <v>3783892.28</v>
      </c>
      <c r="K7" s="104">
        <f t="shared" si="0"/>
        <v>600436.12999999977</v>
      </c>
    </row>
    <row r="8" spans="1:13" ht="15" x14ac:dyDescent="0.25">
      <c r="A8" s="88" t="s">
        <v>66</v>
      </c>
      <c r="B8" s="105">
        <v>8950000</v>
      </c>
      <c r="C8" s="106">
        <v>2300000</v>
      </c>
      <c r="D8" s="106">
        <f>B8-C8</f>
        <v>6650000</v>
      </c>
      <c r="E8" s="106">
        <v>8940000</v>
      </c>
      <c r="F8" s="105">
        <v>6650000</v>
      </c>
      <c r="G8" s="106">
        <f>F8/E8*100</f>
        <v>74.384787472035796</v>
      </c>
      <c r="H8" s="105">
        <v>0</v>
      </c>
      <c r="I8" s="106">
        <v>0</v>
      </c>
      <c r="J8" s="106">
        <f>E8-F8</f>
        <v>2290000</v>
      </c>
      <c r="K8" s="107">
        <f>D8-F8</f>
        <v>0</v>
      </c>
      <c r="L8" s="108"/>
      <c r="M8" s="109"/>
    </row>
    <row r="9" spans="1:13" ht="15" x14ac:dyDescent="0.25">
      <c r="A9" s="88" t="s">
        <v>67</v>
      </c>
      <c r="B9" s="105">
        <v>2789795</v>
      </c>
      <c r="C9" s="106">
        <v>418742.08</v>
      </c>
      <c r="D9" s="106">
        <f t="shared" ref="D9:D14" si="1">B9-C9</f>
        <v>2371052.92</v>
      </c>
      <c r="E9" s="106">
        <v>2776432</v>
      </c>
      <c r="F9" s="105">
        <v>2139705.81</v>
      </c>
      <c r="G9" s="106">
        <f t="shared" ref="G9:G14" si="2">F9/E9*100</f>
        <v>77.066746457323646</v>
      </c>
      <c r="H9" s="105">
        <v>1618159.15</v>
      </c>
      <c r="I9" s="106">
        <v>1616559.15</v>
      </c>
      <c r="J9" s="106">
        <f>E9-F9</f>
        <v>636726.18999999994</v>
      </c>
      <c r="K9" s="107">
        <f t="shared" ref="K9:K14" si="3">D9-F9</f>
        <v>231347.10999999987</v>
      </c>
    </row>
    <row r="10" spans="1:13" ht="15" x14ac:dyDescent="0.25">
      <c r="A10" s="88" t="s">
        <v>68</v>
      </c>
      <c r="B10" s="105">
        <v>500000</v>
      </c>
      <c r="C10" s="106">
        <v>0</v>
      </c>
      <c r="D10" s="106">
        <f t="shared" si="1"/>
        <v>500000</v>
      </c>
      <c r="E10" s="106">
        <v>400000</v>
      </c>
      <c r="F10" s="105">
        <v>400000</v>
      </c>
      <c r="G10" s="106">
        <f t="shared" si="2"/>
        <v>100</v>
      </c>
      <c r="H10" s="106">
        <v>400000</v>
      </c>
      <c r="I10" s="110">
        <v>400000</v>
      </c>
      <c r="J10" s="106">
        <f t="shared" ref="J10:J43" si="4">E10-F10</f>
        <v>0</v>
      </c>
      <c r="K10" s="107">
        <f t="shared" si="3"/>
        <v>100000</v>
      </c>
    </row>
    <row r="11" spans="1:13" ht="15" x14ac:dyDescent="0.25">
      <c r="A11" s="88" t="s">
        <v>69</v>
      </c>
      <c r="B11" s="105">
        <v>596500</v>
      </c>
      <c r="C11" s="106">
        <v>174884.16</v>
      </c>
      <c r="D11" s="106">
        <f>B11-C11</f>
        <v>421615.83999999997</v>
      </c>
      <c r="E11" s="106">
        <v>595500</v>
      </c>
      <c r="F11" s="105">
        <v>421103.62</v>
      </c>
      <c r="G11" s="106">
        <f t="shared" si="2"/>
        <v>70.714293870696892</v>
      </c>
      <c r="H11" s="106">
        <v>230236.7</v>
      </c>
      <c r="I11" s="110">
        <v>230236.7</v>
      </c>
      <c r="J11" s="106">
        <f t="shared" si="4"/>
        <v>174396.38</v>
      </c>
      <c r="K11" s="107">
        <f t="shared" si="3"/>
        <v>512.21999999997206</v>
      </c>
      <c r="L11" s="77" t="s">
        <v>70</v>
      </c>
    </row>
    <row r="12" spans="1:13" ht="15" x14ac:dyDescent="0.25">
      <c r="A12" s="88" t="s">
        <v>71</v>
      </c>
      <c r="B12" s="105">
        <v>687000</v>
      </c>
      <c r="C12" s="106">
        <v>120670.16</v>
      </c>
      <c r="D12" s="106">
        <f t="shared" si="1"/>
        <v>566329.84</v>
      </c>
      <c r="E12" s="106">
        <v>687000</v>
      </c>
      <c r="F12" s="105">
        <v>496731.85</v>
      </c>
      <c r="G12" s="106">
        <f t="shared" si="2"/>
        <v>72.304490538573503</v>
      </c>
      <c r="H12" s="106">
        <v>397181.85</v>
      </c>
      <c r="I12" s="105">
        <v>397181.85</v>
      </c>
      <c r="J12" s="106">
        <f>E12-F12</f>
        <v>190268.15000000002</v>
      </c>
      <c r="K12" s="107">
        <f t="shared" si="3"/>
        <v>69597.989999999991</v>
      </c>
    </row>
    <row r="13" spans="1:13" ht="15" x14ac:dyDescent="0.25">
      <c r="A13" s="88" t="s">
        <v>72</v>
      </c>
      <c r="B13" s="106">
        <v>266700</v>
      </c>
      <c r="C13" s="110">
        <v>125747</v>
      </c>
      <c r="D13" s="106">
        <f t="shared" si="1"/>
        <v>140953</v>
      </c>
      <c r="E13" s="106">
        <v>235484</v>
      </c>
      <c r="F13" s="105">
        <v>103934.88</v>
      </c>
      <c r="G13" s="106">
        <f t="shared" si="2"/>
        <v>44.136705678517444</v>
      </c>
      <c r="H13" s="106">
        <v>47862.25</v>
      </c>
      <c r="I13" s="110">
        <v>47862.25</v>
      </c>
      <c r="J13" s="106">
        <f t="shared" si="4"/>
        <v>131549.12</v>
      </c>
      <c r="K13" s="107">
        <f t="shared" si="3"/>
        <v>37018.119999999995</v>
      </c>
    </row>
    <row r="14" spans="1:13" ht="15" x14ac:dyDescent="0.25">
      <c r="A14" s="88" t="s">
        <v>73</v>
      </c>
      <c r="B14" s="106">
        <v>2230400</v>
      </c>
      <c r="C14" s="110">
        <v>219591.75</v>
      </c>
      <c r="D14" s="106">
        <f t="shared" si="1"/>
        <v>2010808.25</v>
      </c>
      <c r="E14" s="106">
        <v>2209800</v>
      </c>
      <c r="F14" s="105">
        <v>1848847.56</v>
      </c>
      <c r="G14" s="106">
        <f t="shared" si="2"/>
        <v>83.665832202009241</v>
      </c>
      <c r="H14" s="105">
        <v>1314395.9099999999</v>
      </c>
      <c r="I14" s="106">
        <v>1230372.51</v>
      </c>
      <c r="J14" s="106">
        <f t="shared" si="4"/>
        <v>360952.43999999994</v>
      </c>
      <c r="K14" s="107">
        <f t="shared" si="3"/>
        <v>161960.68999999994</v>
      </c>
    </row>
    <row r="15" spans="1:13" ht="15" x14ac:dyDescent="0.25">
      <c r="A15" s="111"/>
      <c r="B15" s="112"/>
      <c r="C15" s="113"/>
      <c r="E15" s="112"/>
      <c r="F15" s="114"/>
      <c r="G15" s="115"/>
      <c r="H15" s="114"/>
      <c r="I15" s="112"/>
      <c r="J15" s="112"/>
      <c r="K15" s="116"/>
    </row>
    <row r="16" spans="1:13" ht="15" x14ac:dyDescent="0.25">
      <c r="A16" s="100" t="s">
        <v>74</v>
      </c>
      <c r="B16" s="117">
        <f>SUM(B17:B18)</f>
        <v>721800</v>
      </c>
      <c r="C16" s="118">
        <f>SUM(C17:C18)</f>
        <v>232856.27</v>
      </c>
      <c r="D16" s="102">
        <f>B16-C16</f>
        <v>488943.73</v>
      </c>
      <c r="E16" s="102">
        <f t="shared" ref="E16:F16" si="5">SUM(E17:E18)</f>
        <v>719300</v>
      </c>
      <c r="F16" s="119">
        <f t="shared" si="5"/>
        <v>461750.70999999996</v>
      </c>
      <c r="G16" s="103">
        <f>F16/E16*100</f>
        <v>64.1944543305992</v>
      </c>
      <c r="H16" s="119">
        <f>SUM(H17:H18)</f>
        <v>123790.27</v>
      </c>
      <c r="I16" s="117">
        <f>SUM(I17:I18)</f>
        <v>113706.08</v>
      </c>
      <c r="J16" s="102">
        <f t="shared" si="4"/>
        <v>257549.29000000004</v>
      </c>
      <c r="K16" s="120">
        <f t="shared" ref="K16" si="6">SUM(K17:K18)</f>
        <v>27193.020000000019</v>
      </c>
      <c r="L16" s="77" t="s">
        <v>26</v>
      </c>
    </row>
    <row r="17" spans="1:16" ht="15" x14ac:dyDescent="0.25">
      <c r="A17" s="88" t="s">
        <v>75</v>
      </c>
      <c r="B17" s="121">
        <v>208100</v>
      </c>
      <c r="C17" s="110">
        <v>147899.26999999999</v>
      </c>
      <c r="D17" s="110">
        <f>B17-C17</f>
        <v>60200.73000000001</v>
      </c>
      <c r="E17" s="106">
        <v>206000</v>
      </c>
      <c r="F17" s="122">
        <v>33008.47</v>
      </c>
      <c r="G17" s="123">
        <f>F17/E17*100</f>
        <v>16.023529126213592</v>
      </c>
      <c r="H17" s="122">
        <v>12701.85</v>
      </c>
      <c r="I17" s="121">
        <v>2617.66</v>
      </c>
      <c r="J17" s="106">
        <f t="shared" si="4"/>
        <v>172991.53</v>
      </c>
      <c r="K17" s="124">
        <f>D17-F17</f>
        <v>27192.260000000009</v>
      </c>
    </row>
    <row r="18" spans="1:16" ht="15" x14ac:dyDescent="0.25">
      <c r="A18" s="88" t="s">
        <v>76</v>
      </c>
      <c r="B18" s="121">
        <v>513700</v>
      </c>
      <c r="C18" s="110">
        <v>84957</v>
      </c>
      <c r="D18" s="110">
        <f>B18-C18</f>
        <v>428743</v>
      </c>
      <c r="E18" s="121">
        <v>513300</v>
      </c>
      <c r="F18" s="122">
        <v>428742.24</v>
      </c>
      <c r="G18" s="123">
        <f>F18/E18*100</f>
        <v>83.52663939216832</v>
      </c>
      <c r="H18" s="122">
        <v>111088.42</v>
      </c>
      <c r="I18" s="121">
        <v>111088.42</v>
      </c>
      <c r="J18" s="106">
        <f t="shared" si="4"/>
        <v>84557.760000000009</v>
      </c>
      <c r="K18" s="124">
        <f>D18-F18</f>
        <v>0.76000000000931323</v>
      </c>
    </row>
    <row r="19" spans="1:16" ht="15" x14ac:dyDescent="0.25">
      <c r="A19" s="111"/>
      <c r="B19" s="125"/>
      <c r="C19" s="126"/>
      <c r="E19" s="125"/>
      <c r="F19" s="114"/>
      <c r="G19" s="125"/>
      <c r="H19" s="114"/>
      <c r="I19" s="127"/>
      <c r="J19" s="112"/>
      <c r="K19" s="128"/>
    </row>
    <row r="20" spans="1:16" ht="15" x14ac:dyDescent="0.25">
      <c r="A20" s="100" t="s">
        <v>77</v>
      </c>
      <c r="B20" s="102">
        <f>SUM(B21)</f>
        <v>3000000</v>
      </c>
      <c r="C20" s="118">
        <f>SUM(C21)</f>
        <v>0</v>
      </c>
      <c r="D20" s="118">
        <f>SUM(D21)</f>
        <v>3000000</v>
      </c>
      <c r="E20" s="102">
        <f>SUM(E21)</f>
        <v>2400000</v>
      </c>
      <c r="F20" s="101">
        <f>SUM(F21)</f>
        <v>2400000</v>
      </c>
      <c r="G20" s="129">
        <f>F20/E20*100</f>
        <v>100</v>
      </c>
      <c r="H20" s="101">
        <f>SUM(H21)</f>
        <v>2400000</v>
      </c>
      <c r="I20" s="117">
        <f>I21</f>
        <v>2400000</v>
      </c>
      <c r="J20" s="130">
        <f t="shared" si="4"/>
        <v>0</v>
      </c>
      <c r="K20" s="120">
        <f t="shared" ref="K20" si="7">K21</f>
        <v>600000</v>
      </c>
    </row>
    <row r="21" spans="1:16" ht="15" x14ac:dyDescent="0.25">
      <c r="A21" s="88" t="s">
        <v>77</v>
      </c>
      <c r="B21" s="106">
        <v>3000000</v>
      </c>
      <c r="C21" s="110">
        <v>0</v>
      </c>
      <c r="D21" s="110">
        <f>B21-C21</f>
        <v>3000000</v>
      </c>
      <c r="E21" s="106">
        <v>2400000</v>
      </c>
      <c r="F21" s="105">
        <v>2400000</v>
      </c>
      <c r="G21" s="121">
        <f>F21/E21*100</f>
        <v>100</v>
      </c>
      <c r="H21" s="122">
        <v>2400000</v>
      </c>
      <c r="I21" s="121">
        <v>2400000</v>
      </c>
      <c r="J21" s="106">
        <f t="shared" si="4"/>
        <v>0</v>
      </c>
      <c r="K21" s="124">
        <f>D21-F21</f>
        <v>600000</v>
      </c>
    </row>
    <row r="22" spans="1:16" ht="15" x14ac:dyDescent="0.25">
      <c r="A22" s="111"/>
      <c r="B22" s="112"/>
      <c r="C22" s="126"/>
      <c r="E22" s="112"/>
      <c r="F22" s="114"/>
      <c r="G22" s="131"/>
      <c r="H22" s="132"/>
      <c r="I22" s="133"/>
      <c r="J22" s="112"/>
      <c r="K22" s="116"/>
    </row>
    <row r="23" spans="1:16" ht="15" x14ac:dyDescent="0.25">
      <c r="A23" s="100" t="s">
        <v>78</v>
      </c>
      <c r="B23" s="102">
        <f>SUM(B24:B26)</f>
        <v>10096463</v>
      </c>
      <c r="C23" s="118">
        <f>SUM(C24:C26)</f>
        <v>2340606.34</v>
      </c>
      <c r="D23" s="118">
        <f>SUM(D24:D26)</f>
        <v>7755856.6600000001</v>
      </c>
      <c r="E23" s="102">
        <f>SUM(E24:E26)</f>
        <v>9950933</v>
      </c>
      <c r="F23" s="101">
        <f>SUM(F24:F26)</f>
        <v>6920966.2000000002</v>
      </c>
      <c r="G23" s="129">
        <f>F23/E23*100</f>
        <v>69.550927536141586</v>
      </c>
      <c r="H23" s="101">
        <f>SUM(H24:H26)</f>
        <v>5061284.3499999996</v>
      </c>
      <c r="I23" s="117">
        <f>SUM(I24:I26)</f>
        <v>4641268.2299999995</v>
      </c>
      <c r="J23" s="102">
        <f t="shared" si="4"/>
        <v>3029966.8</v>
      </c>
      <c r="K23" s="104">
        <f>SUM(K24:K26)</f>
        <v>834890.45999999973</v>
      </c>
    </row>
    <row r="24" spans="1:16" ht="15" x14ac:dyDescent="0.25">
      <c r="A24" s="88" t="s">
        <v>79</v>
      </c>
      <c r="B24" s="105">
        <v>3350463</v>
      </c>
      <c r="C24" s="106">
        <v>915572.99</v>
      </c>
      <c r="D24" s="110">
        <f>B24-C24</f>
        <v>2434890.0099999998</v>
      </c>
      <c r="E24" s="106">
        <v>3259863</v>
      </c>
      <c r="F24" s="105">
        <v>2147022.4700000002</v>
      </c>
      <c r="G24" s="106">
        <f>F24/E24*100</f>
        <v>65.862352804397005</v>
      </c>
      <c r="H24" s="105">
        <v>1507710.5</v>
      </c>
      <c r="I24" s="121">
        <v>1413898.78</v>
      </c>
      <c r="J24" s="106">
        <f>E24-F24</f>
        <v>1112840.5299999998</v>
      </c>
      <c r="K24" s="107">
        <f>D24-F24</f>
        <v>287867.53999999957</v>
      </c>
    </row>
    <row r="25" spans="1:16" ht="15" x14ac:dyDescent="0.25">
      <c r="A25" s="88" t="s">
        <v>80</v>
      </c>
      <c r="B25" s="106">
        <v>6296000</v>
      </c>
      <c r="C25" s="110">
        <v>1260233.3500000001</v>
      </c>
      <c r="D25" s="110">
        <f t="shared" ref="D25:D26" si="8">B25-C25</f>
        <v>5035766.6500000004</v>
      </c>
      <c r="E25" s="106">
        <v>6266384</v>
      </c>
      <c r="F25" s="105">
        <v>4568702.78</v>
      </c>
      <c r="G25" s="106">
        <f>F25/E25*100</f>
        <v>72.908120217337469</v>
      </c>
      <c r="H25" s="105">
        <v>3368442.08</v>
      </c>
      <c r="I25" s="121">
        <v>3050815.68</v>
      </c>
      <c r="J25" s="106">
        <f t="shared" ref="J25:J26" si="9">E25-F25</f>
        <v>1697681.2199999997</v>
      </c>
      <c r="K25" s="107">
        <f t="shared" ref="K25:K26" si="10">D25-F25</f>
        <v>467063.87000000011</v>
      </c>
    </row>
    <row r="26" spans="1:16" ht="15" x14ac:dyDescent="0.25">
      <c r="A26" s="88" t="s">
        <v>81</v>
      </c>
      <c r="B26" s="106">
        <v>450000</v>
      </c>
      <c r="C26" s="110">
        <v>164800</v>
      </c>
      <c r="D26" s="110">
        <f t="shared" si="8"/>
        <v>285200</v>
      </c>
      <c r="E26" s="106">
        <v>424686</v>
      </c>
      <c r="F26" s="105">
        <v>205240.95</v>
      </c>
      <c r="G26" s="106">
        <f>F26/E26*100</f>
        <v>48.327693872649441</v>
      </c>
      <c r="H26" s="105">
        <v>185131.77</v>
      </c>
      <c r="I26" s="121">
        <v>176553.77</v>
      </c>
      <c r="J26" s="106">
        <f t="shared" si="9"/>
        <v>219445.05</v>
      </c>
      <c r="K26" s="107">
        <f t="shared" si="10"/>
        <v>79959.049999999988</v>
      </c>
    </row>
    <row r="27" spans="1:16" ht="15" x14ac:dyDescent="0.25">
      <c r="A27" s="111"/>
      <c r="B27" s="112"/>
      <c r="C27" s="126"/>
      <c r="E27" s="112"/>
      <c r="F27" s="114"/>
      <c r="G27" s="131"/>
      <c r="H27" s="132"/>
      <c r="I27" s="133"/>
      <c r="J27" s="112"/>
      <c r="K27" s="116"/>
    </row>
    <row r="28" spans="1:16" ht="15" x14ac:dyDescent="0.25">
      <c r="A28" s="100" t="s">
        <v>82</v>
      </c>
      <c r="B28" s="102">
        <f>SUM(B29:B31)</f>
        <v>2560008</v>
      </c>
      <c r="C28" s="118">
        <f>SUM(C29:C31)</f>
        <v>745906.8899999999</v>
      </c>
      <c r="D28" s="118">
        <f>SUM(D29:D31)</f>
        <v>1814101.11</v>
      </c>
      <c r="E28" s="102">
        <f>SUM(E29:E31)</f>
        <v>2418543</v>
      </c>
      <c r="F28" s="101">
        <f>SUM(F29:F31)</f>
        <v>1435226.97</v>
      </c>
      <c r="G28" s="129">
        <f>F28/E28*100</f>
        <v>59.342627772175227</v>
      </c>
      <c r="H28" s="101">
        <f>SUM(H29:H31)</f>
        <v>1222441.2300000002</v>
      </c>
      <c r="I28" s="117">
        <f>SUM(I29:I31)</f>
        <v>1201327.3</v>
      </c>
      <c r="J28" s="102">
        <f t="shared" si="4"/>
        <v>983316.03</v>
      </c>
      <c r="K28" s="104">
        <f>SUM(K29:K31)</f>
        <v>378874.14000000007</v>
      </c>
      <c r="P28" s="108"/>
    </row>
    <row r="29" spans="1:16" ht="15" x14ac:dyDescent="0.25">
      <c r="A29" s="88" t="s">
        <v>83</v>
      </c>
      <c r="B29" s="106">
        <v>1749308</v>
      </c>
      <c r="C29" s="110">
        <v>618206.96</v>
      </c>
      <c r="D29" s="110">
        <f>B29-C29</f>
        <v>1131101.04</v>
      </c>
      <c r="E29" s="106">
        <v>1729485</v>
      </c>
      <c r="F29" s="105">
        <v>913456.86</v>
      </c>
      <c r="G29" s="106">
        <f t="shared" ref="G29:G31" si="11">F29/E29*100</f>
        <v>52.816697456179149</v>
      </c>
      <c r="H29" s="105">
        <v>723871.12</v>
      </c>
      <c r="I29" s="121">
        <v>704743.12</v>
      </c>
      <c r="J29" s="106">
        <f t="shared" si="4"/>
        <v>816028.14</v>
      </c>
      <c r="K29" s="107">
        <f>D29-F29</f>
        <v>217644.18000000005</v>
      </c>
    </row>
    <row r="30" spans="1:16" ht="15" x14ac:dyDescent="0.25">
      <c r="A30" s="88" t="s">
        <v>84</v>
      </c>
      <c r="B30" s="106">
        <v>500000</v>
      </c>
      <c r="C30" s="110">
        <v>0</v>
      </c>
      <c r="D30" s="110">
        <f t="shared" ref="D30:D31" si="12">B30-C30</f>
        <v>500000</v>
      </c>
      <c r="E30" s="106">
        <v>400000</v>
      </c>
      <c r="F30" s="105">
        <v>400000</v>
      </c>
      <c r="G30" s="106">
        <f t="shared" si="11"/>
        <v>100</v>
      </c>
      <c r="H30" s="105">
        <v>400000</v>
      </c>
      <c r="I30" s="106">
        <v>400000</v>
      </c>
      <c r="J30" s="106">
        <f t="shared" si="4"/>
        <v>0</v>
      </c>
      <c r="K30" s="107">
        <f>D30-F30</f>
        <v>100000</v>
      </c>
    </row>
    <row r="31" spans="1:16" ht="15" x14ac:dyDescent="0.25">
      <c r="A31" s="111" t="s">
        <v>85</v>
      </c>
      <c r="B31" s="112">
        <v>310700</v>
      </c>
      <c r="C31" s="134">
        <v>127699.93</v>
      </c>
      <c r="D31" s="112">
        <f t="shared" si="12"/>
        <v>183000.07</v>
      </c>
      <c r="E31" s="112">
        <v>289058</v>
      </c>
      <c r="F31" s="135">
        <v>121770.11</v>
      </c>
      <c r="G31" s="112">
        <f t="shared" si="11"/>
        <v>42.126531699520513</v>
      </c>
      <c r="H31" s="135">
        <v>98570.11</v>
      </c>
      <c r="I31" s="136">
        <v>96584.18</v>
      </c>
      <c r="J31" s="112">
        <f t="shared" si="4"/>
        <v>167287.89000000001</v>
      </c>
      <c r="K31" s="116">
        <f>D31-F31</f>
        <v>61229.960000000006</v>
      </c>
    </row>
    <row r="32" spans="1:16" ht="15" x14ac:dyDescent="0.25">
      <c r="A32" s="137" t="s">
        <v>86</v>
      </c>
      <c r="B32" s="96">
        <f>SUM(B33:B36)</f>
        <v>5939832</v>
      </c>
      <c r="C32" s="138">
        <f>SUM(C33:C36)</f>
        <v>675296.59000000008</v>
      </c>
      <c r="D32" s="138">
        <f>SUM(D33:D36)</f>
        <v>5264535.41</v>
      </c>
      <c r="E32" s="96">
        <f>SUM(E33:E36)</f>
        <v>5150892</v>
      </c>
      <c r="F32" s="95">
        <f>SUM(F33:F36)</f>
        <v>4324911.47</v>
      </c>
      <c r="G32" s="98">
        <f>F32/E32*100</f>
        <v>83.964320548751544</v>
      </c>
      <c r="H32" s="95">
        <f>SUM(H33:H36)</f>
        <v>3869485.6100000003</v>
      </c>
      <c r="I32" s="96">
        <f>SUM(I33:I36)</f>
        <v>3835434.1600000006</v>
      </c>
      <c r="J32" s="96">
        <f t="shared" si="4"/>
        <v>825980.53000000026</v>
      </c>
      <c r="K32" s="97">
        <f>SUM(K33:K36)</f>
        <v>939623.94000000006</v>
      </c>
    </row>
    <row r="33" spans="1:11" ht="15" x14ac:dyDescent="0.25">
      <c r="A33" s="88" t="s">
        <v>87</v>
      </c>
      <c r="B33" s="106">
        <v>3960000</v>
      </c>
      <c r="C33" s="110">
        <v>0</v>
      </c>
      <c r="D33" s="110">
        <f>B33-C33</f>
        <v>3960000</v>
      </c>
      <c r="E33" s="106">
        <v>3168000</v>
      </c>
      <c r="F33" s="105">
        <v>3168000</v>
      </c>
      <c r="G33" s="106">
        <f t="shared" ref="G33:G35" si="13">F33/E33*100</f>
        <v>100</v>
      </c>
      <c r="H33" s="105">
        <v>3168000</v>
      </c>
      <c r="I33" s="106">
        <v>3168000</v>
      </c>
      <c r="J33" s="106">
        <f t="shared" si="4"/>
        <v>0</v>
      </c>
      <c r="K33" s="107">
        <f>D33-F33</f>
        <v>792000</v>
      </c>
    </row>
    <row r="34" spans="1:11" ht="15" x14ac:dyDescent="0.25">
      <c r="A34" s="88" t="s">
        <v>88</v>
      </c>
      <c r="B34" s="106">
        <v>333246</v>
      </c>
      <c r="C34" s="110">
        <v>130953.36</v>
      </c>
      <c r="D34" s="110">
        <f t="shared" ref="D34:D36" si="14">B34-C34</f>
        <v>202292.64</v>
      </c>
      <c r="E34" s="106">
        <v>324406</v>
      </c>
      <c r="F34" s="105">
        <v>133446</v>
      </c>
      <c r="G34" s="106">
        <f t="shared" si="13"/>
        <v>41.135490712255631</v>
      </c>
      <c r="H34" s="105">
        <v>112492.5</v>
      </c>
      <c r="I34" s="106">
        <v>88880.99</v>
      </c>
      <c r="J34" s="106">
        <f t="shared" si="4"/>
        <v>190960</v>
      </c>
      <c r="K34" s="107">
        <f t="shared" ref="K34:K35" si="15">D34-F34</f>
        <v>68846.640000000014</v>
      </c>
    </row>
    <row r="35" spans="1:11" ht="15" x14ac:dyDescent="0.25">
      <c r="A35" s="88" t="s">
        <v>89</v>
      </c>
      <c r="B35" s="106">
        <v>560254</v>
      </c>
      <c r="C35" s="110">
        <v>237447.35</v>
      </c>
      <c r="D35" s="110">
        <f t="shared" si="14"/>
        <v>322806.65000000002</v>
      </c>
      <c r="E35" s="106">
        <v>637114</v>
      </c>
      <c r="F35" s="105">
        <v>397769.02</v>
      </c>
      <c r="G35" s="106">
        <f t="shared" si="13"/>
        <v>62.432942927011496</v>
      </c>
      <c r="H35" s="105">
        <v>234255.72</v>
      </c>
      <c r="I35" s="106">
        <v>234255.72</v>
      </c>
      <c r="J35" s="106">
        <f t="shared" si="4"/>
        <v>239344.97999999998</v>
      </c>
      <c r="K35" s="107">
        <f t="shared" si="15"/>
        <v>-74962.37</v>
      </c>
    </row>
    <row r="36" spans="1:11" ht="15" x14ac:dyDescent="0.25">
      <c r="A36" s="88" t="s">
        <v>90</v>
      </c>
      <c r="B36" s="106">
        <v>1086332</v>
      </c>
      <c r="C36" s="110">
        <v>306895.88</v>
      </c>
      <c r="D36" s="110">
        <f t="shared" si="14"/>
        <v>779436.12</v>
      </c>
      <c r="E36" s="110">
        <v>1021372</v>
      </c>
      <c r="F36" s="105">
        <v>625696.44999999995</v>
      </c>
      <c r="G36" s="106">
        <f>F36/E36*100</f>
        <v>61.26038798792213</v>
      </c>
      <c r="H36" s="105">
        <v>354737.39</v>
      </c>
      <c r="I36" s="106">
        <v>344297.45</v>
      </c>
      <c r="J36" s="106">
        <f t="shared" si="4"/>
        <v>395675.55000000005</v>
      </c>
      <c r="K36" s="107">
        <f>D36-F36</f>
        <v>153739.67000000004</v>
      </c>
    </row>
    <row r="37" spans="1:11" ht="15" x14ac:dyDescent="0.25">
      <c r="A37" s="100" t="s">
        <v>91</v>
      </c>
      <c r="B37" s="102">
        <f>SUM(B38)</f>
        <v>805902</v>
      </c>
      <c r="C37" s="102">
        <f>SUM(C38)</f>
        <v>389137.87</v>
      </c>
      <c r="D37" s="102">
        <f>SUM(D38)</f>
        <v>416764.13</v>
      </c>
      <c r="E37" s="118">
        <f>SUM(E38)</f>
        <v>793702</v>
      </c>
      <c r="F37" s="101">
        <f>SUM(F38)</f>
        <v>335209.31</v>
      </c>
      <c r="G37" s="129">
        <f t="shared" ref="G37" si="16">F37/E37*100</f>
        <v>42.233648145021682</v>
      </c>
      <c r="H37" s="101">
        <f>SUM(H38)</f>
        <v>306021.44</v>
      </c>
      <c r="I37" s="117">
        <f>SUM(I38)</f>
        <v>280665.99</v>
      </c>
      <c r="J37" s="102">
        <f t="shared" si="4"/>
        <v>458492.69</v>
      </c>
      <c r="K37" s="104">
        <f>SUM(K38)</f>
        <v>81554.820000000007</v>
      </c>
    </row>
    <row r="38" spans="1:11" ht="15" x14ac:dyDescent="0.25">
      <c r="A38" s="88" t="s">
        <v>92</v>
      </c>
      <c r="B38" s="106">
        <v>805902</v>
      </c>
      <c r="C38" s="106">
        <v>389137.87</v>
      </c>
      <c r="D38" s="112">
        <f>B38-C38</f>
        <v>416764.13</v>
      </c>
      <c r="E38" s="110">
        <v>793702</v>
      </c>
      <c r="F38" s="105">
        <v>335209.31</v>
      </c>
      <c r="G38" s="106">
        <f>F38/E38*100</f>
        <v>42.233648145021682</v>
      </c>
      <c r="H38" s="105">
        <v>306021.44</v>
      </c>
      <c r="I38" s="121">
        <v>280665.99</v>
      </c>
      <c r="J38" s="106">
        <f t="shared" si="4"/>
        <v>458492.69</v>
      </c>
      <c r="K38" s="107">
        <f>D38-F38</f>
        <v>81554.820000000007</v>
      </c>
    </row>
    <row r="39" spans="1:11" ht="15" x14ac:dyDescent="0.25">
      <c r="A39" s="100" t="s">
        <v>93</v>
      </c>
      <c r="B39" s="101">
        <f>SUM(B40:B41)</f>
        <v>12762100</v>
      </c>
      <c r="C39" s="102">
        <f>SUM(C40:C41)</f>
        <v>296389.99</v>
      </c>
      <c r="D39" s="96">
        <f>SUM(D40:D41)</f>
        <v>12465710.01</v>
      </c>
      <c r="E39" s="118">
        <f t="shared" ref="E39:F39" si="17">SUM(E40:E41)</f>
        <v>10831499</v>
      </c>
      <c r="F39" s="101">
        <f t="shared" si="17"/>
        <v>6257881.4199999999</v>
      </c>
      <c r="G39" s="129">
        <f>F39/E39*100</f>
        <v>57.774841875533568</v>
      </c>
      <c r="H39" s="101">
        <f>SUM(H40:H41)</f>
        <v>4790055.55</v>
      </c>
      <c r="I39" s="117">
        <f>SUM(I40:I41)</f>
        <v>4061603.8600000003</v>
      </c>
      <c r="J39" s="102">
        <f t="shared" si="4"/>
        <v>4573617.58</v>
      </c>
      <c r="K39" s="104">
        <f>SUM(K40:K41)</f>
        <v>6207828.5899999989</v>
      </c>
    </row>
    <row r="40" spans="1:11" ht="15" x14ac:dyDescent="0.25">
      <c r="A40" s="88" t="s">
        <v>94</v>
      </c>
      <c r="B40" s="139">
        <f>10407625+347375</f>
        <v>10755000</v>
      </c>
      <c r="C40" s="140">
        <v>174594.21</v>
      </c>
      <c r="D40" s="106">
        <f>B40-C40</f>
        <v>10580405.789999999</v>
      </c>
      <c r="E40" s="141">
        <v>9190746</v>
      </c>
      <c r="F40" s="105">
        <v>5232169.09</v>
      </c>
      <c r="G40" s="106">
        <f>F40/E40*100</f>
        <v>56.92866596465619</v>
      </c>
      <c r="H40" s="105">
        <v>4035416.72</v>
      </c>
      <c r="I40" s="121">
        <v>3321213.93</v>
      </c>
      <c r="J40" s="106">
        <f>E40-F40</f>
        <v>3958576.91</v>
      </c>
      <c r="K40" s="107">
        <f>D40-F40</f>
        <v>5348236.6999999993</v>
      </c>
    </row>
    <row r="41" spans="1:11" ht="15" x14ac:dyDescent="0.25">
      <c r="A41" s="111" t="s">
        <v>94</v>
      </c>
      <c r="B41" s="135">
        <f>2002950+4150</f>
        <v>2007100</v>
      </c>
      <c r="C41" s="112">
        <v>121795.78</v>
      </c>
      <c r="D41" s="112">
        <f>B41-C41</f>
        <v>1885304.22</v>
      </c>
      <c r="E41" s="134">
        <v>1640753</v>
      </c>
      <c r="F41" s="135">
        <v>1025712.33</v>
      </c>
      <c r="G41" s="115">
        <f>F41/E41*100</f>
        <v>62.514731345912509</v>
      </c>
      <c r="H41" s="135">
        <v>754638.83</v>
      </c>
      <c r="I41" s="136">
        <v>740389.93</v>
      </c>
      <c r="J41" s="112">
        <f t="shared" si="4"/>
        <v>615040.67000000004</v>
      </c>
      <c r="K41" s="116">
        <f>D41-F41</f>
        <v>859591.89</v>
      </c>
    </row>
    <row r="42" spans="1:11" ht="15" x14ac:dyDescent="0.25">
      <c r="A42" s="137" t="s">
        <v>95</v>
      </c>
      <c r="B42" s="95">
        <f t="shared" ref="B42:K42" si="18">B43</f>
        <v>19400</v>
      </c>
      <c r="C42" s="96">
        <f t="shared" si="18"/>
        <v>11415.9</v>
      </c>
      <c r="D42" s="96">
        <f t="shared" si="18"/>
        <v>7984.1</v>
      </c>
      <c r="E42" s="96">
        <f t="shared" si="18"/>
        <v>22000</v>
      </c>
      <c r="F42" s="95">
        <f t="shared" si="18"/>
        <v>4307.1000000000004</v>
      </c>
      <c r="G42" s="96">
        <f t="shared" si="18"/>
        <v>19.577727272727273</v>
      </c>
      <c r="H42" s="95">
        <f t="shared" si="18"/>
        <v>3827.1</v>
      </c>
      <c r="I42" s="96">
        <f t="shared" si="18"/>
        <v>3175.76</v>
      </c>
      <c r="J42" s="96">
        <f t="shared" si="4"/>
        <v>17692.900000000001</v>
      </c>
      <c r="K42" s="97">
        <f t="shared" si="18"/>
        <v>3677</v>
      </c>
    </row>
    <row r="43" spans="1:11" ht="15.75" thickBot="1" x14ac:dyDescent="0.3">
      <c r="A43" s="142" t="s">
        <v>96</v>
      </c>
      <c r="B43" s="143">
        <v>19400</v>
      </c>
      <c r="C43" s="144">
        <v>11415.9</v>
      </c>
      <c r="D43" s="144">
        <f>B43-C43</f>
        <v>7984.1</v>
      </c>
      <c r="E43" s="144">
        <v>22000</v>
      </c>
      <c r="F43" s="143">
        <v>4307.1000000000004</v>
      </c>
      <c r="G43" s="145">
        <f>F43/E43*100</f>
        <v>19.577727272727273</v>
      </c>
      <c r="H43" s="143">
        <v>3827.1</v>
      </c>
      <c r="I43" s="146">
        <v>3175.76</v>
      </c>
      <c r="J43" s="144">
        <f t="shared" si="4"/>
        <v>17692.900000000001</v>
      </c>
      <c r="K43" s="147">
        <f>D43-F43</f>
        <v>3677</v>
      </c>
    </row>
  </sheetData>
  <mergeCells count="1">
    <mergeCell ref="A1:K1"/>
  </mergeCells>
  <pageMargins left="0.7" right="0.7" top="0.75" bottom="0.75" header="0.3" footer="0.3"/>
  <pageSetup scale="75" fitToWidth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Resumen</vt:lpstr>
      <vt:lpstr>Funcionamiento</vt:lpstr>
      <vt:lpstr>Inversiones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A. Hun</dc:creator>
  <cp:lastModifiedBy>Rosa Caceres</cp:lastModifiedBy>
  <cp:lastPrinted>2019-10-02T17:26:30Z</cp:lastPrinted>
  <dcterms:created xsi:type="dcterms:W3CDTF">2019-10-01T14:26:51Z</dcterms:created>
  <dcterms:modified xsi:type="dcterms:W3CDTF">2019-10-02T17:26:33Z</dcterms:modified>
</cp:coreProperties>
</file>