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126"/>
  <workbookPr/>
  <mc:AlternateContent xmlns:mc="http://schemas.openxmlformats.org/markup-compatibility/2006">
    <mc:Choice Requires="x15">
      <x15ac:absPath xmlns:x15ac="http://schemas.microsoft.com/office/spreadsheetml/2010/11/ac" url="C:\Users\jbernal\Desktop\Ejecucion Presupuestaria\"/>
    </mc:Choice>
  </mc:AlternateContent>
  <xr:revisionPtr revIDLastSave="0" documentId="13_ncr:1_{C4E301F0-8444-4488-AF0F-94765F3C3D29}" xr6:coauthVersionLast="40" xr6:coauthVersionMax="40" xr10:uidLastSave="{00000000-0000-0000-0000-000000000000}"/>
  <bookViews>
    <workbookView xWindow="0" yWindow="600" windowWidth="19200" windowHeight="6840" xr2:uid="{00000000-000D-0000-FFFF-FFFF00000000}"/>
  </bookViews>
  <sheets>
    <sheet name="Hoja1" sheetId="1" r:id="rId1"/>
    <sheet name="ESRI_MAPINFO_SHEET" sheetId="2" state="veryHidden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84" i="1" l="1"/>
  <c r="G82" i="1" s="1"/>
  <c r="F84" i="1"/>
  <c r="F82" i="1" s="1"/>
  <c r="D84" i="1"/>
  <c r="D82" i="1" s="1"/>
  <c r="C84" i="1"/>
  <c r="H84" i="1" s="1"/>
  <c r="B84" i="1"/>
  <c r="H83" i="1"/>
  <c r="E83" i="1"/>
  <c r="B83" i="1"/>
  <c r="B82" i="1" s="1"/>
  <c r="H82" i="1" l="1"/>
  <c r="C82" i="1"/>
  <c r="E82" i="1" s="1"/>
  <c r="E84" i="1"/>
  <c r="H77" i="1"/>
  <c r="E77" i="1"/>
  <c r="B77" i="1"/>
  <c r="H76" i="1"/>
  <c r="E76" i="1"/>
  <c r="B76" i="1"/>
  <c r="G75" i="1"/>
  <c r="F75" i="1"/>
  <c r="D75" i="1"/>
  <c r="C75" i="1"/>
  <c r="H75" i="1" l="1"/>
  <c r="B75" i="1"/>
  <c r="E75" i="1"/>
  <c r="G70" i="1"/>
  <c r="F70" i="1"/>
  <c r="F68" i="1" s="1"/>
  <c r="D70" i="1"/>
  <c r="C70" i="1"/>
  <c r="C68" i="1" s="1"/>
  <c r="B70" i="1"/>
  <c r="H69" i="1"/>
  <c r="E69" i="1"/>
  <c r="B69" i="1"/>
  <c r="G68" i="1"/>
  <c r="E70" i="1" l="1"/>
  <c r="B68" i="1"/>
  <c r="D68" i="1"/>
  <c r="E68" i="1" s="1"/>
  <c r="H70" i="1"/>
  <c r="H68" i="1" s="1"/>
  <c r="B63" i="1" l="1"/>
  <c r="C63" i="1"/>
  <c r="D63" i="1"/>
  <c r="F63" i="1"/>
  <c r="G63" i="1"/>
  <c r="H63" i="1" l="1"/>
  <c r="E63" i="1"/>
  <c r="F61" i="1"/>
  <c r="C61" i="1"/>
  <c r="H62" i="1"/>
  <c r="E62" i="1"/>
  <c r="B62" i="1"/>
  <c r="B61" i="1" s="1"/>
  <c r="G61" i="1"/>
  <c r="D61" i="1" l="1"/>
  <c r="E61" i="1" s="1"/>
  <c r="H61" i="1"/>
  <c r="G56" i="1"/>
  <c r="G54" i="1" s="1"/>
  <c r="F56" i="1"/>
  <c r="F54" i="1" s="1"/>
  <c r="D56" i="1"/>
  <c r="C56" i="1"/>
  <c r="C54" i="1" s="1"/>
  <c r="B56" i="1"/>
  <c r="H55" i="1"/>
  <c r="E55" i="1"/>
  <c r="B55" i="1"/>
  <c r="E56" i="1" l="1"/>
  <c r="B54" i="1"/>
  <c r="D54" i="1"/>
  <c r="E54" i="1" s="1"/>
  <c r="H56" i="1"/>
  <c r="H54" i="1" s="1"/>
  <c r="G49" i="1"/>
  <c r="G47" i="1" s="1"/>
  <c r="F49" i="1"/>
  <c r="F47" i="1" s="1"/>
  <c r="D49" i="1"/>
  <c r="C49" i="1"/>
  <c r="C47" i="1" s="1"/>
  <c r="B49" i="1"/>
  <c r="H48" i="1"/>
  <c r="E48" i="1"/>
  <c r="B48" i="1"/>
  <c r="H49" i="1" l="1"/>
  <c r="H47" i="1" s="1"/>
  <c r="B47" i="1"/>
  <c r="E49" i="1"/>
  <c r="D47" i="1"/>
  <c r="E47" i="1" s="1"/>
  <c r="G42" i="1"/>
  <c r="F42" i="1"/>
  <c r="F40" i="1" s="1"/>
  <c r="D42" i="1"/>
  <c r="D40" i="1" s="1"/>
  <c r="C42" i="1"/>
  <c r="C40" i="1" s="1"/>
  <c r="B42" i="1"/>
  <c r="H41" i="1"/>
  <c r="E41" i="1"/>
  <c r="B41" i="1"/>
  <c r="G40" i="1"/>
  <c r="B40" i="1" l="1"/>
  <c r="E40" i="1"/>
  <c r="H42" i="1"/>
  <c r="H40" i="1" s="1"/>
  <c r="E42" i="1"/>
  <c r="C35" i="1"/>
  <c r="H35" i="1" s="1"/>
  <c r="B35" i="1"/>
  <c r="B33" i="1" s="1"/>
  <c r="H34" i="1"/>
  <c r="E34" i="1"/>
  <c r="G33" i="1"/>
  <c r="F33" i="1"/>
  <c r="D33" i="1"/>
  <c r="C33" i="1" l="1"/>
  <c r="E33" i="1" s="1"/>
  <c r="H33" i="1"/>
  <c r="E35" i="1"/>
  <c r="F28" i="1"/>
  <c r="F26" i="1" s="1"/>
  <c r="D28" i="1"/>
  <c r="C28" i="1"/>
  <c r="B28" i="1"/>
  <c r="B26" i="1" s="1"/>
  <c r="G27" i="1"/>
  <c r="E27" i="1"/>
  <c r="G28" i="1" l="1"/>
  <c r="E28" i="1"/>
  <c r="D26" i="1"/>
  <c r="C26" i="1"/>
  <c r="G26" i="1"/>
  <c r="F21" i="1"/>
  <c r="F19" i="1" s="1"/>
  <c r="D21" i="1"/>
  <c r="D19" i="1" s="1"/>
  <c r="C21" i="1"/>
  <c r="B21" i="1"/>
  <c r="B19" i="1" s="1"/>
  <c r="G20" i="1"/>
  <c r="E20" i="1"/>
  <c r="G14" i="1"/>
  <c r="E14" i="1"/>
  <c r="G13" i="1"/>
  <c r="E13" i="1"/>
  <c r="F12" i="1"/>
  <c r="D12" i="1"/>
  <c r="C12" i="1"/>
  <c r="B12" i="1"/>
  <c r="G7" i="1"/>
  <c r="E7" i="1"/>
  <c r="G6" i="1"/>
  <c r="E6" i="1"/>
  <c r="F5" i="1"/>
  <c r="D5" i="1"/>
  <c r="C5" i="1"/>
  <c r="B5" i="1"/>
  <c r="G21" i="1" l="1"/>
  <c r="G12" i="1"/>
  <c r="E26" i="1"/>
  <c r="G5" i="1"/>
  <c r="E21" i="1"/>
  <c r="E5" i="1"/>
  <c r="E12" i="1"/>
  <c r="C19" i="1"/>
  <c r="E19" i="1" s="1"/>
  <c r="G19" i="1"/>
</calcChain>
</file>

<file path=xl/sharedStrings.xml><?xml version="1.0" encoding="utf-8"?>
<sst xmlns="http://schemas.openxmlformats.org/spreadsheetml/2006/main" count="129" uniqueCount="25">
  <si>
    <t>Ejecución Presupuestaria de SENACYT al 31 de enero del 2018 (en balboas)</t>
  </si>
  <si>
    <t>Tipo de Presupuesto</t>
  </si>
  <si>
    <t>Presupuesto Ley Modificado                     1</t>
  </si>
  <si>
    <t>Presupuesto Asignado a la Fecha                        2</t>
  </si>
  <si>
    <t>Presupuesto Ejecutado a la Fecha                   3</t>
  </si>
  <si>
    <t>% de Ejecución              4 = (3/2 * 100)</t>
  </si>
  <si>
    <t>Pagado                        5</t>
  </si>
  <si>
    <t>Saldo de lo Asignado                     6 = (2-3)</t>
  </si>
  <si>
    <t>Presupuesto de Funcionamiento</t>
  </si>
  <si>
    <t>Presupuesto de Inversiones</t>
  </si>
  <si>
    <t>Ejecución Presupuestaria de SENACYT al 28 de febrero  del 2018 (en balboas)</t>
  </si>
  <si>
    <t>Ejecución Presupuestaria de SENACYT al 29 de marzo del 2018 (en balboas)</t>
  </si>
  <si>
    <t>Ejecución Presupuestaria de SENACYT al 30 de abril del 2018 (en balboas)</t>
  </si>
  <si>
    <t>Ejecución Presupuestaria de SENACYT al 31 de mayo del 2018 (en balboas)</t>
  </si>
  <si>
    <t>Devengado                   5</t>
  </si>
  <si>
    <t>Pagado                        6</t>
  </si>
  <si>
    <t>Saldo de lo Asignado                     7 = (2-3)</t>
  </si>
  <si>
    <t>Ejecución Presupuestaria de SENACYT al 30 de junio del 2018 (en balboas)</t>
  </si>
  <si>
    <t>E</t>
  </si>
  <si>
    <t>Ejecución Presupuestaria de SENACYT al 31 de julio del 2018 (en balboas)</t>
  </si>
  <si>
    <t>Ejecución Presupuestaria de SENACYT al 31 de agosto del 2018 (en balboas)</t>
  </si>
  <si>
    <t>Ejecución Presupuestaria de SENACYT al 30 de septiembre del 2018 (en balboas)</t>
  </si>
  <si>
    <t>Ejecución Presupuestaria de SENACYT al 31 de octubre del 2018 (en balboas)</t>
  </si>
  <si>
    <t>Ejecución Presupuestaria de SENACYT al 30 de noviembre del 2018 (en balboas)</t>
  </si>
  <si>
    <t>Ejecución Presupuestaria de SENACYT al 21 de diciembre del 2018 (en balboas)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</si>
</sst>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2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2"/>
      <color theme="1"/>
      <name val="Arial"/>
      <family val="2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" xfId="0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0" fillId="0" borderId="2" xfId="0" applyBorder="1"/>
    <xf numFmtId="0" fontId="2" fillId="0" borderId="2" xfId="0" applyFont="1" applyBorder="1" applyAlignment="1">
      <alignment horizontal="center"/>
    </xf>
    <xf numFmtId="3" fontId="2" fillId="0" borderId="2" xfId="0" applyNumberFormat="1" applyFont="1" applyBorder="1" applyAlignment="1">
      <alignment horizontal="center"/>
    </xf>
    <xf numFmtId="3" fontId="2" fillId="0" borderId="3" xfId="0" applyNumberFormat="1" applyFont="1" applyBorder="1" applyAlignment="1">
      <alignment horizontal="center"/>
    </xf>
    <xf numFmtId="3" fontId="0" fillId="0" borderId="2" xfId="0" applyNumberFormat="1" applyBorder="1"/>
    <xf numFmtId="3" fontId="3" fillId="0" borderId="2" xfId="0" applyNumberFormat="1" applyFont="1" applyBorder="1" applyAlignment="1">
      <alignment horizontal="center"/>
    </xf>
    <xf numFmtId="3" fontId="3" fillId="0" borderId="2" xfId="0" applyNumberFormat="1" applyFont="1" applyBorder="1"/>
    <xf numFmtId="3" fontId="3" fillId="0" borderId="2" xfId="0" applyNumberFormat="1" applyFont="1" applyBorder="1" applyAlignment="1">
      <alignment horizontal="right"/>
    </xf>
    <xf numFmtId="0" fontId="0" fillId="0" borderId="4" xfId="0" applyBorder="1"/>
    <xf numFmtId="3" fontId="0" fillId="0" borderId="4" xfId="0" applyNumberFormat="1" applyBorder="1"/>
    <xf numFmtId="3" fontId="3" fillId="0" borderId="4" xfId="0" applyNumberFormat="1" applyFont="1" applyBorder="1" applyAlignment="1">
      <alignment horizontal="center"/>
    </xf>
    <xf numFmtId="3" fontId="3" fillId="0" borderId="3" xfId="0" applyNumberFormat="1" applyFont="1" applyBorder="1"/>
    <xf numFmtId="3" fontId="0" fillId="0" borderId="5" xfId="0" applyNumberFormat="1" applyBorder="1"/>
    <xf numFmtId="3" fontId="3" fillId="0" borderId="4" xfId="0" applyNumberFormat="1" applyFont="1" applyBorder="1" applyAlignment="1">
      <alignment horizontal="right"/>
    </xf>
    <xf numFmtId="0" fontId="0" fillId="0" borderId="0" xfId="0" applyBorder="1"/>
    <xf numFmtId="3" fontId="0" fillId="0" borderId="0" xfId="0" applyNumberFormat="1" applyBorder="1"/>
    <xf numFmtId="3" fontId="3" fillId="0" borderId="0" xfId="0" applyNumberFormat="1" applyFont="1" applyBorder="1" applyAlignment="1">
      <alignment horizontal="center"/>
    </xf>
    <xf numFmtId="3" fontId="3" fillId="0" borderId="0" xfId="0" applyNumberFormat="1" applyFont="1" applyBorder="1" applyAlignment="1">
      <alignment horizontal="right"/>
    </xf>
    <xf numFmtId="0" fontId="1" fillId="0" borderId="0" xfId="0" applyFont="1" applyAlignment="1">
      <alignment horizontal="center"/>
    </xf>
    <xf numFmtId="0" fontId="4" fillId="0" borderId="0" xfId="0" applyFont="1" applyBorder="1" applyAlignment="1">
      <alignment horizontal="center"/>
    </xf>
    <xf numFmtId="0" fontId="0" fillId="0" borderId="6" xfId="0" applyBorder="1"/>
    <xf numFmtId="3" fontId="5" fillId="0" borderId="6" xfId="0" applyNumberFormat="1" applyFont="1" applyBorder="1"/>
    <xf numFmtId="3" fontId="2" fillId="0" borderId="6" xfId="0" applyNumberFormat="1" applyFont="1" applyBorder="1" applyAlignment="1">
      <alignment horizontal="center"/>
    </xf>
    <xf numFmtId="3" fontId="5" fillId="0" borderId="7" xfId="0" applyNumberFormat="1" applyFont="1" applyBorder="1"/>
    <xf numFmtId="3" fontId="2" fillId="0" borderId="6" xfId="0" applyNumberFormat="1" applyFont="1" applyBorder="1" applyAlignment="1">
      <alignment horizontal="right"/>
    </xf>
    <xf numFmtId="0" fontId="6" fillId="0" borderId="4" xfId="0" applyFont="1" applyBorder="1" applyAlignment="1"/>
    <xf numFmtId="3" fontId="6" fillId="0" borderId="4" xfId="0" applyNumberFormat="1" applyFont="1" applyBorder="1" applyAlignment="1">
      <alignment horizontal="center"/>
    </xf>
    <xf numFmtId="3" fontId="6" fillId="0" borderId="4" xfId="0" applyNumberFormat="1" applyFont="1" applyBorder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10</xdr:col>
      <xdr:colOff>294147</xdr:colOff>
      <xdr:row>8</xdr:row>
      <xdr:rowOff>177765</xdr:rowOff>
    </xdr:to>
    <xdr:sp macro="" textlink="">
      <xdr:nvSpPr>
        <xdr:cNvPr id="2" name="EsriDoNotEdit">
          <a:extLst>
            <a:ext uri="{FF2B5EF4-FFF2-40B4-BE49-F238E27FC236}">
              <a16:creationId xmlns:a16="http://schemas.microsoft.com/office/drawing/2014/main" id="{FEB31E01-5924-44B0-96AC-E7CA62F11801}"/>
            </a:ext>
          </a:extLst>
        </xdr:cNvPr>
        <xdr:cNvSpPr/>
      </xdr:nvSpPr>
      <xdr:spPr>
        <a:xfrm>
          <a:off x="0" y="0"/>
          <a:ext cx="6390147" cy="1650965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en-US" sz="5000" b="1" i="0" cap="none" spc="0">
              <a:ln w="18000">
                <a:solidFill>
                  <a:schemeClr val="accent2">
                    <a:satMod val="140000"/>
                  </a:schemeClr>
                </a:solidFill>
                <a:prstDash val="solid"/>
                <a:miter lim="800000"/>
              </a:ln>
              <a:noFill/>
              <a:effectLst>
                <a:outerShdw blurRad="25500" dist="23000" dir="7020000" algn="tl">
                  <a:srgbClr val="000000">
                    <a:alpha val="50000"/>
                  </a:srgbClr>
                </a:outerShdw>
              </a:effectLst>
              <a:latin typeface="Verdana" panose="020B0604030504040204" pitchFamily="34" charset="0"/>
            </a:rPr>
            <a:t>DO NOT EDIT </a:t>
          </a:r>
        </a:p>
        <a:p>
          <a:pPr algn="ctr"/>
          <a:r>
            <a:rPr lang="en-US" sz="5000" b="1" i="0" cap="none" spc="0">
              <a:ln w="18000">
                <a:solidFill>
                  <a:schemeClr val="accent2">
                    <a:satMod val="140000"/>
                  </a:schemeClr>
                </a:solidFill>
                <a:prstDash val="solid"/>
                <a:miter lim="800000"/>
              </a:ln>
              <a:noFill/>
              <a:effectLst>
                <a:outerShdw blurRad="25500" dist="23000" dir="7020000" algn="tl">
                  <a:srgbClr val="000000">
                    <a:alpha val="50000"/>
                  </a:srgbClr>
                </a:outerShdw>
              </a:effectLst>
              <a:latin typeface="Verdana" panose="020B0604030504040204" pitchFamily="34" charset="0"/>
            </a:rPr>
            <a:t> For Esri use only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H84"/>
  <sheetViews>
    <sheetView tabSelected="1" workbookViewId="0">
      <selection activeCell="I78" sqref="I78"/>
    </sheetView>
  </sheetViews>
  <sheetFormatPr baseColWidth="10" defaultColWidth="10.90625" defaultRowHeight="14.5" x14ac:dyDescent="0.35"/>
  <cols>
    <col min="7" max="7" width="13.54296875" customWidth="1"/>
  </cols>
  <sheetData>
    <row r="2" spans="1:7" ht="15.5" x14ac:dyDescent="0.35">
      <c r="A2" s="21" t="s">
        <v>0</v>
      </c>
      <c r="B2" s="21"/>
      <c r="C2" s="21"/>
      <c r="D2" s="21"/>
      <c r="E2" s="21"/>
      <c r="F2" s="21"/>
      <c r="G2" s="21"/>
    </row>
    <row r="4" spans="1:7" ht="58" x14ac:dyDescent="0.35">
      <c r="A4" s="1" t="s">
        <v>1</v>
      </c>
      <c r="B4" s="2" t="s">
        <v>2</v>
      </c>
      <c r="C4" s="2" t="s">
        <v>3</v>
      </c>
      <c r="D4" s="1" t="s">
        <v>4</v>
      </c>
      <c r="E4" s="1" t="s">
        <v>5</v>
      </c>
      <c r="F4" s="1" t="s">
        <v>6</v>
      </c>
      <c r="G4" s="1" t="s">
        <v>7</v>
      </c>
    </row>
    <row r="5" spans="1:7" x14ac:dyDescent="0.35">
      <c r="A5" s="4"/>
      <c r="B5" s="5">
        <f>SUM(B6:B7)</f>
        <v>50715910</v>
      </c>
      <c r="C5" s="5">
        <f>SUM(C6:C7)</f>
        <v>3620022</v>
      </c>
      <c r="D5" s="5">
        <f>SUM(D6:D7)</f>
        <v>31085.11</v>
      </c>
      <c r="E5" s="5">
        <f>D5/C5*100</f>
        <v>0.8586994775169875</v>
      </c>
      <c r="F5" s="6">
        <f>SUM(F6:F7)</f>
        <v>213</v>
      </c>
      <c r="G5" s="5">
        <f>G6+G7</f>
        <v>3588936.89</v>
      </c>
    </row>
    <row r="6" spans="1:7" x14ac:dyDescent="0.35">
      <c r="A6" s="3" t="s">
        <v>8</v>
      </c>
      <c r="B6" s="7">
        <v>7026710</v>
      </c>
      <c r="C6" s="7">
        <v>707672</v>
      </c>
      <c r="D6" s="7">
        <v>10498.86</v>
      </c>
      <c r="E6" s="8">
        <f>D6/C6*100</f>
        <v>1.4835771374309004</v>
      </c>
      <c r="F6" s="9">
        <v>213</v>
      </c>
      <c r="G6" s="10">
        <f>C6-D6</f>
        <v>697173.14</v>
      </c>
    </row>
    <row r="7" spans="1:7" x14ac:dyDescent="0.35">
      <c r="A7" s="11" t="s">
        <v>9</v>
      </c>
      <c r="B7" s="12">
        <v>43689200</v>
      </c>
      <c r="C7" s="12">
        <v>2912350</v>
      </c>
      <c r="D7" s="12">
        <v>20586.25</v>
      </c>
      <c r="E7" s="13">
        <f>D7/C7*100</f>
        <v>0.70686043916424879</v>
      </c>
      <c r="F7" s="15">
        <v>0</v>
      </c>
      <c r="G7" s="16">
        <f>C7-D7</f>
        <v>2891763.75</v>
      </c>
    </row>
    <row r="9" spans="1:7" ht="15.5" x14ac:dyDescent="0.35">
      <c r="A9" s="21" t="s">
        <v>10</v>
      </c>
      <c r="B9" s="21"/>
      <c r="C9" s="21"/>
      <c r="D9" s="21"/>
      <c r="E9" s="21"/>
      <c r="F9" s="21"/>
      <c r="G9" s="21"/>
    </row>
    <row r="11" spans="1:7" ht="58" x14ac:dyDescent="0.35">
      <c r="A11" s="1" t="s">
        <v>1</v>
      </c>
      <c r="B11" s="2" t="s">
        <v>2</v>
      </c>
      <c r="C11" s="2" t="s">
        <v>3</v>
      </c>
      <c r="D11" s="1" t="s">
        <v>4</v>
      </c>
      <c r="E11" s="1" t="s">
        <v>5</v>
      </c>
      <c r="F11" s="1" t="s">
        <v>6</v>
      </c>
      <c r="G11" s="1" t="s">
        <v>7</v>
      </c>
    </row>
    <row r="12" spans="1:7" x14ac:dyDescent="0.35">
      <c r="A12" s="4"/>
      <c r="B12" s="5">
        <f>SUM(B13:B14)</f>
        <v>50715910</v>
      </c>
      <c r="C12" s="5">
        <f>SUM(C13:C14)</f>
        <v>18780359</v>
      </c>
      <c r="D12" s="5">
        <f>SUM(D13:D14)</f>
        <v>7361181.9399999995</v>
      </c>
      <c r="E12" s="5">
        <f>D12/C12*100</f>
        <v>39.196172661023141</v>
      </c>
      <c r="F12" s="6">
        <f>SUM(F13:F14)</f>
        <v>364419.9</v>
      </c>
      <c r="G12" s="5">
        <f>G13+G14</f>
        <v>11419177.060000001</v>
      </c>
    </row>
    <row r="13" spans="1:7" x14ac:dyDescent="0.35">
      <c r="A13" s="3" t="s">
        <v>8</v>
      </c>
      <c r="B13" s="7">
        <v>7026710</v>
      </c>
      <c r="C13" s="7">
        <v>1456220</v>
      </c>
      <c r="D13" s="7">
        <v>612747.93999999994</v>
      </c>
      <c r="E13" s="8">
        <f>D13/C13*100</f>
        <v>42.077978602134294</v>
      </c>
      <c r="F13" s="9">
        <v>246263.9</v>
      </c>
      <c r="G13" s="10">
        <f>C13-D13</f>
        <v>843472.06</v>
      </c>
    </row>
    <row r="14" spans="1:7" x14ac:dyDescent="0.35">
      <c r="A14" s="11" t="s">
        <v>9</v>
      </c>
      <c r="B14" s="12">
        <v>43689200</v>
      </c>
      <c r="C14" s="12">
        <v>17324139</v>
      </c>
      <c r="D14" s="12">
        <v>6748434</v>
      </c>
      <c r="E14" s="13">
        <f>D14/C14*100</f>
        <v>38.953935892571629</v>
      </c>
      <c r="F14" s="15">
        <v>118156</v>
      </c>
      <c r="G14" s="16">
        <f>C14-D14</f>
        <v>10575705</v>
      </c>
    </row>
    <row r="16" spans="1:7" ht="15.5" x14ac:dyDescent="0.35">
      <c r="A16" s="21" t="s">
        <v>11</v>
      </c>
      <c r="B16" s="21"/>
      <c r="C16" s="21"/>
      <c r="D16" s="21"/>
      <c r="E16" s="21"/>
      <c r="F16" s="21"/>
      <c r="G16" s="21"/>
    </row>
    <row r="18" spans="1:8" ht="58" x14ac:dyDescent="0.35">
      <c r="A18" s="1" t="s">
        <v>1</v>
      </c>
      <c r="B18" s="2" t="s">
        <v>2</v>
      </c>
      <c r="C18" s="2" t="s">
        <v>3</v>
      </c>
      <c r="D18" s="1" t="s">
        <v>4</v>
      </c>
      <c r="E18" s="1" t="s">
        <v>5</v>
      </c>
      <c r="F18" s="1" t="s">
        <v>6</v>
      </c>
      <c r="G18" s="1" t="s">
        <v>7</v>
      </c>
    </row>
    <row r="19" spans="1:8" x14ac:dyDescent="0.35">
      <c r="A19" s="4"/>
      <c r="B19" s="5">
        <f>SUM(B20:B21)</f>
        <v>50715910</v>
      </c>
      <c r="C19" s="5">
        <f>SUM(C20:C21)</f>
        <v>25451086</v>
      </c>
      <c r="D19" s="5">
        <f>SUM(D20:D21)</f>
        <v>12886380.119999999</v>
      </c>
      <c r="E19" s="5">
        <f>D19/C19*100</f>
        <v>50.631946000261038</v>
      </c>
      <c r="F19" s="6">
        <f>SUM(F20:F21)</f>
        <v>1803818.99</v>
      </c>
      <c r="G19" s="5">
        <f>G20+G21</f>
        <v>12564705.880000001</v>
      </c>
    </row>
    <row r="20" spans="1:8" x14ac:dyDescent="0.35">
      <c r="A20" s="3" t="s">
        <v>8</v>
      </c>
      <c r="B20" s="7">
        <v>7026710</v>
      </c>
      <c r="C20" s="7">
        <v>2216347</v>
      </c>
      <c r="D20" s="7">
        <v>1140023.95</v>
      </c>
      <c r="E20" s="8">
        <f>D20/C20*100</f>
        <v>51.437069646585122</v>
      </c>
      <c r="F20" s="9">
        <v>147471.03</v>
      </c>
      <c r="G20" s="10">
        <f>C20-D20</f>
        <v>1076323.05</v>
      </c>
    </row>
    <row r="21" spans="1:8" x14ac:dyDescent="0.35">
      <c r="A21" s="11" t="s">
        <v>9</v>
      </c>
      <c r="B21" s="12">
        <f>31715422+9534128+2439650</f>
        <v>43689200</v>
      </c>
      <c r="C21" s="12">
        <f>16763872+5218934+1251933</f>
        <v>23234739</v>
      </c>
      <c r="D21" s="12">
        <f>10197755.87+1285756.33+262843.97</f>
        <v>11746356.17</v>
      </c>
      <c r="E21" s="13">
        <f>D21/C21*100</f>
        <v>50.555145766862289</v>
      </c>
      <c r="F21" s="15">
        <f>1124416.31+491598+40333.65</f>
        <v>1656347.96</v>
      </c>
      <c r="G21" s="16">
        <f>C21-D21</f>
        <v>11488382.83</v>
      </c>
    </row>
    <row r="23" spans="1:8" ht="15.5" x14ac:dyDescent="0.35">
      <c r="A23" s="21" t="s">
        <v>12</v>
      </c>
      <c r="B23" s="21"/>
      <c r="C23" s="21"/>
      <c r="D23" s="21"/>
      <c r="E23" s="21"/>
      <c r="F23" s="21"/>
      <c r="G23" s="21"/>
    </row>
    <row r="25" spans="1:8" ht="58" x14ac:dyDescent="0.35">
      <c r="A25" s="1" t="s">
        <v>1</v>
      </c>
      <c r="B25" s="2" t="s">
        <v>2</v>
      </c>
      <c r="C25" s="2" t="s">
        <v>3</v>
      </c>
      <c r="D25" s="1" t="s">
        <v>4</v>
      </c>
      <c r="E25" s="1" t="s">
        <v>5</v>
      </c>
      <c r="F25" s="1" t="s">
        <v>6</v>
      </c>
      <c r="G25" s="1" t="s">
        <v>7</v>
      </c>
    </row>
    <row r="26" spans="1:8" x14ac:dyDescent="0.35">
      <c r="A26" s="4"/>
      <c r="B26" s="5">
        <f>SUM(B27:B28)</f>
        <v>50715910</v>
      </c>
      <c r="C26" s="5">
        <f>SUM(C27:C28)</f>
        <v>27809227</v>
      </c>
      <c r="D26" s="5">
        <f>SUM(D27:D28)</f>
        <v>16584303.68</v>
      </c>
      <c r="E26" s="5">
        <f>D26/C26*100</f>
        <v>59.635975066836636</v>
      </c>
      <c r="F26" s="6">
        <f>SUM(F27:F28)</f>
        <v>2713325.6999999997</v>
      </c>
      <c r="G26" s="5">
        <f>G27+G28</f>
        <v>11224923.32</v>
      </c>
    </row>
    <row r="27" spans="1:8" x14ac:dyDescent="0.35">
      <c r="A27" s="3" t="s">
        <v>8</v>
      </c>
      <c r="B27" s="7">
        <v>7026710</v>
      </c>
      <c r="C27" s="7">
        <v>2823842</v>
      </c>
      <c r="D27" s="7">
        <v>2056359.66</v>
      </c>
      <c r="E27" s="8">
        <f>D27/C27*100</f>
        <v>72.821342695519078</v>
      </c>
      <c r="F27" s="9">
        <v>450808.9</v>
      </c>
      <c r="G27" s="10">
        <f>C27-D27</f>
        <v>767482.34000000008</v>
      </c>
    </row>
    <row r="28" spans="1:8" x14ac:dyDescent="0.35">
      <c r="A28" s="11" t="s">
        <v>9</v>
      </c>
      <c r="B28" s="12">
        <f>31856613+9392937+2439650</f>
        <v>43689200</v>
      </c>
      <c r="C28" s="12">
        <f>18384960+5348492+1251933</f>
        <v>24985385</v>
      </c>
      <c r="D28" s="12">
        <f>12811281.17+1424642.74+292020.11</f>
        <v>14527944.02</v>
      </c>
      <c r="E28" s="13">
        <f>D28/C28*100</f>
        <v>58.145768096028938</v>
      </c>
      <c r="F28" s="15">
        <f>1525593.98+571931+164991.82</f>
        <v>2262516.7999999998</v>
      </c>
      <c r="G28" s="16">
        <f>C28-D28</f>
        <v>10457440.98</v>
      </c>
    </row>
    <row r="30" spans="1:8" ht="15.5" x14ac:dyDescent="0.35">
      <c r="A30" s="21" t="s">
        <v>13</v>
      </c>
      <c r="B30" s="21"/>
      <c r="C30" s="21"/>
      <c r="D30" s="21"/>
      <c r="E30" s="21"/>
      <c r="F30" s="21"/>
      <c r="G30" s="21"/>
      <c r="H30" s="21"/>
    </row>
    <row r="32" spans="1:8" ht="58" x14ac:dyDescent="0.35">
      <c r="A32" s="1" t="s">
        <v>1</v>
      </c>
      <c r="B32" s="2" t="s">
        <v>2</v>
      </c>
      <c r="C32" s="2" t="s">
        <v>3</v>
      </c>
      <c r="D32" s="1" t="s">
        <v>4</v>
      </c>
      <c r="E32" s="1" t="s">
        <v>5</v>
      </c>
      <c r="F32" s="1" t="s">
        <v>14</v>
      </c>
      <c r="G32" s="1" t="s">
        <v>15</v>
      </c>
      <c r="H32" s="1" t="s">
        <v>16</v>
      </c>
    </row>
    <row r="33" spans="1:8" x14ac:dyDescent="0.35">
      <c r="A33" s="4"/>
      <c r="B33" s="5">
        <f>SUM(B34:B35)</f>
        <v>50715910</v>
      </c>
      <c r="C33" s="5">
        <f>SUM(C34:C35)</f>
        <v>36255721</v>
      </c>
      <c r="D33" s="5">
        <f>SUM(D34:D35)</f>
        <v>21081938.09</v>
      </c>
      <c r="E33" s="5">
        <f>D33/C33*100</f>
        <v>58.147893652425232</v>
      </c>
      <c r="F33" s="5">
        <f>F34+F35</f>
        <v>7882442.7999999998</v>
      </c>
      <c r="G33" s="6">
        <f>SUM(G34:G35)</f>
        <v>4593725.0600000005</v>
      </c>
      <c r="H33" s="5">
        <f>H34+H35</f>
        <v>15173782.91</v>
      </c>
    </row>
    <row r="34" spans="1:8" x14ac:dyDescent="0.35">
      <c r="A34" s="3" t="s">
        <v>8</v>
      </c>
      <c r="B34" s="7">
        <v>7026710</v>
      </c>
      <c r="C34" s="7">
        <v>3332262</v>
      </c>
      <c r="D34" s="7">
        <v>2166903.09</v>
      </c>
      <c r="E34" s="8">
        <f>D34/C34*100</f>
        <v>65.027992696852763</v>
      </c>
      <c r="F34" s="8">
        <v>1885803.8</v>
      </c>
      <c r="G34" s="14">
        <v>627685.06000000006</v>
      </c>
      <c r="H34" s="10">
        <f>C34-D34</f>
        <v>1165358.9100000001</v>
      </c>
    </row>
    <row r="35" spans="1:8" x14ac:dyDescent="0.35">
      <c r="A35" s="11" t="s">
        <v>9</v>
      </c>
      <c r="B35" s="12">
        <f>31856613+9392937+2439650</f>
        <v>43689200</v>
      </c>
      <c r="C35" s="12">
        <f>23501357+232113+2020260+7169729</f>
        <v>32923459</v>
      </c>
      <c r="D35" s="12">
        <v>18915035</v>
      </c>
      <c r="E35" s="13">
        <f>D35/C35*100</f>
        <v>57.451542378946272</v>
      </c>
      <c r="F35" s="13">
        <v>5996639</v>
      </c>
      <c r="G35" s="15">
        <v>3966040</v>
      </c>
      <c r="H35" s="16">
        <f>C35-D35</f>
        <v>14008424</v>
      </c>
    </row>
    <row r="37" spans="1:8" ht="15.5" x14ac:dyDescent="0.35">
      <c r="A37" s="21" t="s">
        <v>17</v>
      </c>
      <c r="B37" s="21"/>
      <c r="C37" s="21"/>
      <c r="D37" s="21"/>
      <c r="E37" s="21"/>
      <c r="F37" s="21"/>
      <c r="G37" s="21"/>
      <c r="H37" s="21"/>
    </row>
    <row r="39" spans="1:8" ht="58" x14ac:dyDescent="0.35">
      <c r="A39" s="1" t="s">
        <v>1</v>
      </c>
      <c r="B39" s="2" t="s">
        <v>2</v>
      </c>
      <c r="C39" s="2" t="s">
        <v>3</v>
      </c>
      <c r="D39" s="1" t="s">
        <v>4</v>
      </c>
      <c r="E39" s="1" t="s">
        <v>5</v>
      </c>
      <c r="F39" s="1" t="s">
        <v>14</v>
      </c>
      <c r="G39" s="1" t="s">
        <v>15</v>
      </c>
      <c r="H39" s="1" t="s">
        <v>16</v>
      </c>
    </row>
    <row r="40" spans="1:8" x14ac:dyDescent="0.35">
      <c r="A40" s="4"/>
      <c r="B40" s="5">
        <f>SUM(B41:B42)</f>
        <v>50685910</v>
      </c>
      <c r="C40" s="5">
        <f>SUM(C41:C42)</f>
        <v>37593982</v>
      </c>
      <c r="D40" s="5">
        <f>SUM(D41:D42)</f>
        <v>26169419.270000003</v>
      </c>
      <c r="E40" s="5">
        <f>D40/C40*100</f>
        <v>69.610660743520086</v>
      </c>
      <c r="F40" s="5">
        <f>F41+F42</f>
        <v>12453386.65</v>
      </c>
      <c r="G40" s="6">
        <f>SUM(G41:G46)</f>
        <v>5922546.96</v>
      </c>
      <c r="H40" s="5">
        <f>H41+H42</f>
        <v>11424562.729999997</v>
      </c>
    </row>
    <row r="41" spans="1:8" x14ac:dyDescent="0.35">
      <c r="A41" s="3" t="s">
        <v>8</v>
      </c>
      <c r="B41" s="7">
        <f>7026710-30000</f>
        <v>6996710</v>
      </c>
      <c r="C41" s="7">
        <v>3855962</v>
      </c>
      <c r="D41" s="7">
        <v>2955008.52</v>
      </c>
      <c r="E41" s="8">
        <f>D41/C41*100</f>
        <v>76.634793600144405</v>
      </c>
      <c r="F41" s="8">
        <v>2676720.23</v>
      </c>
      <c r="G41" s="14">
        <v>676279.75</v>
      </c>
      <c r="H41" s="10">
        <f>C41-D41</f>
        <v>900953.48</v>
      </c>
    </row>
    <row r="42" spans="1:8" x14ac:dyDescent="0.35">
      <c r="A42" s="11" t="s">
        <v>9</v>
      </c>
      <c r="B42" s="12">
        <f>31722500+361671+2341650+9263379</f>
        <v>43689200</v>
      </c>
      <c r="C42" s="12">
        <f>24234258+361671+2051420+7090671</f>
        <v>33738020</v>
      </c>
      <c r="D42" s="12">
        <f>19029957.78+94172.87+1352385.8+2737894.3</f>
        <v>23214410.750000004</v>
      </c>
      <c r="E42" s="13">
        <f>D42/C42*100</f>
        <v>68.807863502363219</v>
      </c>
      <c r="F42" s="13">
        <f>7567049.26+94172.87+1161511.28+953933.01</f>
        <v>9776666.4199999999</v>
      </c>
      <c r="G42" s="15">
        <f>4232130.33+11374.99+224692.84+778069.05</f>
        <v>5246267.21</v>
      </c>
      <c r="H42" s="16">
        <f>C42-D42</f>
        <v>10523609.249999996</v>
      </c>
    </row>
    <row r="43" spans="1:8" x14ac:dyDescent="0.35">
      <c r="A43" s="17"/>
      <c r="B43" s="18"/>
      <c r="C43" s="18"/>
      <c r="D43" s="18"/>
      <c r="E43" s="19"/>
      <c r="F43" s="19"/>
      <c r="G43" s="18"/>
      <c r="H43" s="20"/>
    </row>
    <row r="44" spans="1:8" ht="15.5" x14ac:dyDescent="0.35">
      <c r="A44" s="22" t="s">
        <v>19</v>
      </c>
      <c r="B44" s="22"/>
      <c r="C44" s="22"/>
      <c r="D44" s="22"/>
      <c r="E44" s="22"/>
      <c r="F44" s="22"/>
      <c r="G44" s="22"/>
      <c r="H44" s="22"/>
    </row>
    <row r="46" spans="1:8" ht="58" x14ac:dyDescent="0.35">
      <c r="A46" s="1" t="s">
        <v>1</v>
      </c>
      <c r="B46" s="2" t="s">
        <v>2</v>
      </c>
      <c r="C46" s="2" t="s">
        <v>3</v>
      </c>
      <c r="D46" s="1" t="s">
        <v>4</v>
      </c>
      <c r="E46" s="1" t="s">
        <v>5</v>
      </c>
      <c r="F46" s="1" t="s">
        <v>14</v>
      </c>
      <c r="G46" s="1" t="s">
        <v>15</v>
      </c>
      <c r="H46" s="1" t="s">
        <v>16</v>
      </c>
    </row>
    <row r="47" spans="1:8" x14ac:dyDescent="0.35">
      <c r="A47" s="4"/>
      <c r="B47" s="5">
        <f>SUM(B48:B49)</f>
        <v>50685910</v>
      </c>
      <c r="C47" s="5">
        <f>SUM(C48:C49)</f>
        <v>38649035</v>
      </c>
      <c r="D47" s="5">
        <f>SUM(D48:D49)</f>
        <v>28126854.859999999</v>
      </c>
      <c r="E47" s="5">
        <f>D47/C47*100</f>
        <v>72.775050813040991</v>
      </c>
      <c r="F47" s="5">
        <f>F48+F49</f>
        <v>16782019.050000001</v>
      </c>
      <c r="G47" s="6">
        <f>SUM(G48:G49)</f>
        <v>9010024.3399999999</v>
      </c>
      <c r="H47" s="5">
        <f>H48+H49</f>
        <v>10522180.140000001</v>
      </c>
    </row>
    <row r="48" spans="1:8" x14ac:dyDescent="0.35">
      <c r="A48" s="3" t="s">
        <v>8</v>
      </c>
      <c r="B48" s="7">
        <f>7026710-30000</f>
        <v>6996710</v>
      </c>
      <c r="C48" s="7">
        <v>4482385</v>
      </c>
      <c r="D48" s="7">
        <v>3574254.89</v>
      </c>
      <c r="E48" s="8">
        <f>D48/C48*100</f>
        <v>79.740024339720932</v>
      </c>
      <c r="F48" s="8">
        <v>3293421.63</v>
      </c>
      <c r="G48" s="14" t="s">
        <v>18</v>
      </c>
      <c r="H48" s="10">
        <f>C48-D48</f>
        <v>908130.10999999987</v>
      </c>
    </row>
    <row r="49" spans="1:8" x14ac:dyDescent="0.35">
      <c r="A49" s="11" t="s">
        <v>9</v>
      </c>
      <c r="B49" s="12">
        <f>31722500+361671+2341650+9263379</f>
        <v>43689200</v>
      </c>
      <c r="C49" s="12">
        <f>24648188+361671+2066120+7090671</f>
        <v>34166650</v>
      </c>
      <c r="D49" s="12">
        <f>20163968.56+119891.49+1379618.75+2889121.17</f>
        <v>24552599.969999999</v>
      </c>
      <c r="E49" s="13">
        <f>D49/C49*100</f>
        <v>71.861303259172317</v>
      </c>
      <c r="F49" s="13">
        <f>11074437.89+119891.49+1099538.71+1194729.33</f>
        <v>13488597.42</v>
      </c>
      <c r="G49" s="15">
        <f>1189559.34+874583.01+32216.84+6913665.15</f>
        <v>9010024.3399999999</v>
      </c>
      <c r="H49" s="16">
        <f>C49-D49</f>
        <v>9614050.0300000012</v>
      </c>
    </row>
    <row r="51" spans="1:8" ht="15.5" x14ac:dyDescent="0.35">
      <c r="A51" s="21" t="s">
        <v>20</v>
      </c>
      <c r="B51" s="21"/>
      <c r="C51" s="21"/>
      <c r="D51" s="21"/>
      <c r="E51" s="21"/>
      <c r="F51" s="21"/>
      <c r="G51" s="21"/>
      <c r="H51" s="21"/>
    </row>
    <row r="53" spans="1:8" ht="58" x14ac:dyDescent="0.35">
      <c r="A53" s="1" t="s">
        <v>1</v>
      </c>
      <c r="B53" s="2" t="s">
        <v>2</v>
      </c>
      <c r="C53" s="2" t="s">
        <v>3</v>
      </c>
      <c r="D53" s="1" t="s">
        <v>4</v>
      </c>
      <c r="E53" s="1" t="s">
        <v>5</v>
      </c>
      <c r="F53" s="1" t="s">
        <v>14</v>
      </c>
      <c r="G53" s="1" t="s">
        <v>15</v>
      </c>
      <c r="H53" s="1" t="s">
        <v>16</v>
      </c>
    </row>
    <row r="54" spans="1:8" x14ac:dyDescent="0.35">
      <c r="A54" s="4"/>
      <c r="B54" s="5">
        <f>SUM(B55:B56)</f>
        <v>50685910</v>
      </c>
      <c r="C54" s="5">
        <f>SUM(C55:C56)</f>
        <v>47449797</v>
      </c>
      <c r="D54" s="5">
        <f>SUM(D55:D56)</f>
        <v>35961470.049999997</v>
      </c>
      <c r="E54" s="5">
        <f>D54/C54*100</f>
        <v>75.788459221437748</v>
      </c>
      <c r="F54" s="5">
        <f>F55+F56</f>
        <v>25079886.369999997</v>
      </c>
      <c r="G54" s="6">
        <f>SUM(G55:G56)</f>
        <v>13800595.300000001</v>
      </c>
      <c r="H54" s="5">
        <f>H55+H56</f>
        <v>11488326.949999999</v>
      </c>
    </row>
    <row r="55" spans="1:8" x14ac:dyDescent="0.35">
      <c r="A55" s="3" t="s">
        <v>8</v>
      </c>
      <c r="B55" s="7">
        <f>7026710-30000</f>
        <v>6996710</v>
      </c>
      <c r="C55" s="7">
        <v>4988255</v>
      </c>
      <c r="D55" s="7">
        <v>4117151</v>
      </c>
      <c r="E55" s="8">
        <f>D55/C55*100</f>
        <v>82.536899176164809</v>
      </c>
      <c r="F55" s="8">
        <v>3927615.15</v>
      </c>
      <c r="G55" s="14">
        <v>1576521.75</v>
      </c>
      <c r="H55" s="10">
        <f>C55-D55</f>
        <v>871104</v>
      </c>
    </row>
    <row r="56" spans="1:8" x14ac:dyDescent="0.35">
      <c r="A56" s="11" t="s">
        <v>9</v>
      </c>
      <c r="B56" s="12">
        <f>31722500+361671+2341650+9263379</f>
        <v>43689200</v>
      </c>
      <c r="C56" s="12">
        <f>31350581+361671+2236411+8512879</f>
        <v>42461542</v>
      </c>
      <c r="D56" s="12">
        <f>26484967.48+143264+1627050.46+3589037.11</f>
        <v>31844319.050000001</v>
      </c>
      <c r="E56" s="13">
        <f>D56/C56*100</f>
        <v>74.995672672462064</v>
      </c>
      <c r="F56" s="13">
        <f>17834951.5+143264+1237426.81+1936628.91</f>
        <v>21152271.219999999</v>
      </c>
      <c r="G56" s="15">
        <f>9941307.26+39287.16+1196046.32+1047432.81</f>
        <v>12224073.550000001</v>
      </c>
      <c r="H56" s="16">
        <f>C56-D56</f>
        <v>10617222.949999999</v>
      </c>
    </row>
    <row r="58" spans="1:8" ht="15.5" x14ac:dyDescent="0.35">
      <c r="A58" s="21" t="s">
        <v>21</v>
      </c>
      <c r="B58" s="21"/>
      <c r="C58" s="21"/>
      <c r="D58" s="21"/>
      <c r="E58" s="21"/>
      <c r="F58" s="21"/>
      <c r="G58" s="21"/>
      <c r="H58" s="21"/>
    </row>
    <row r="60" spans="1:8" ht="58" x14ac:dyDescent="0.35">
      <c r="A60" s="1" t="s">
        <v>1</v>
      </c>
      <c r="B60" s="2" t="s">
        <v>2</v>
      </c>
      <c r="C60" s="2" t="s">
        <v>3</v>
      </c>
      <c r="D60" s="1" t="s">
        <v>4</v>
      </c>
      <c r="E60" s="1" t="s">
        <v>5</v>
      </c>
      <c r="F60" s="1" t="s">
        <v>14</v>
      </c>
      <c r="G60" s="1" t="s">
        <v>15</v>
      </c>
      <c r="H60" s="1" t="s">
        <v>16</v>
      </c>
    </row>
    <row r="61" spans="1:8" x14ac:dyDescent="0.35">
      <c r="A61" s="4"/>
      <c r="B61" s="5">
        <f>SUM(B62:B63)</f>
        <v>50685910</v>
      </c>
      <c r="C61" s="5">
        <f>SUM(C62:C63)</f>
        <v>48196760</v>
      </c>
      <c r="D61" s="5">
        <f>SUM(D62:D63)</f>
        <v>38081036.759999998</v>
      </c>
      <c r="E61" s="5">
        <f>D61/C61*100</f>
        <v>79.011611485917314</v>
      </c>
      <c r="F61" s="5">
        <f>F62+F63</f>
        <v>29071819.779999997</v>
      </c>
      <c r="G61" s="6">
        <f>SUM(G62:G63)</f>
        <v>16710764.790000001</v>
      </c>
      <c r="H61" s="5">
        <f>H62+H63</f>
        <v>10115723.239999998</v>
      </c>
    </row>
    <row r="62" spans="1:8" x14ac:dyDescent="0.35">
      <c r="A62" s="3" t="s">
        <v>8</v>
      </c>
      <c r="B62" s="7">
        <f>7026710-30000</f>
        <v>6996710</v>
      </c>
      <c r="C62" s="7">
        <v>5539875</v>
      </c>
      <c r="D62" s="7">
        <v>4674451.87</v>
      </c>
      <c r="E62" s="8">
        <f>D62/C62*100</f>
        <v>84.378291387441053</v>
      </c>
      <c r="F62" s="8">
        <v>4430691.13</v>
      </c>
      <c r="G62" s="14">
        <v>1805188.17</v>
      </c>
      <c r="H62" s="10">
        <f>C62-D62</f>
        <v>865423.12999999989</v>
      </c>
    </row>
    <row r="63" spans="1:8" x14ac:dyDescent="0.35">
      <c r="A63" s="11" t="s">
        <v>9</v>
      </c>
      <c r="B63" s="12">
        <f>31722500+361671+9263379+2341650</f>
        <v>43689200</v>
      </c>
      <c r="C63" s="12">
        <f>31488507+361671+8570296+2236411</f>
        <v>42656885</v>
      </c>
      <c r="D63" s="12">
        <f>27711209.85+163753.72+1806347.77+3725273.55</f>
        <v>33406584.890000001</v>
      </c>
      <c r="E63" s="13">
        <f>D63/C63*100</f>
        <v>78.314637578435466</v>
      </c>
      <c r="F63" s="13">
        <f>20875324.61+163753.72+1351993.74+2250056.58</f>
        <v>24641128.649999999</v>
      </c>
      <c r="G63" s="15">
        <f>11649665.41+49016.57+1232152.02+1974742.62</f>
        <v>14905576.620000001</v>
      </c>
      <c r="H63" s="16">
        <f>C63-D63</f>
        <v>9250300.1099999994</v>
      </c>
    </row>
    <row r="65" spans="1:8" ht="15.5" x14ac:dyDescent="0.35">
      <c r="A65" s="21" t="s">
        <v>22</v>
      </c>
      <c r="B65" s="21"/>
      <c r="C65" s="21"/>
      <c r="D65" s="21"/>
      <c r="E65" s="21"/>
      <c r="F65" s="21"/>
      <c r="G65" s="21"/>
      <c r="H65" s="21"/>
    </row>
    <row r="67" spans="1:8" ht="58" x14ac:dyDescent="0.35">
      <c r="A67" s="1" t="s">
        <v>1</v>
      </c>
      <c r="B67" s="2" t="s">
        <v>2</v>
      </c>
      <c r="C67" s="2" t="s">
        <v>3</v>
      </c>
      <c r="D67" s="1" t="s">
        <v>4</v>
      </c>
      <c r="E67" s="1" t="s">
        <v>5</v>
      </c>
      <c r="F67" s="1" t="s">
        <v>14</v>
      </c>
      <c r="G67" s="1" t="s">
        <v>15</v>
      </c>
      <c r="H67" s="1" t="s">
        <v>16</v>
      </c>
    </row>
    <row r="68" spans="1:8" x14ac:dyDescent="0.35">
      <c r="A68" s="4"/>
      <c r="B68" s="5">
        <f>SUM(B69:B70)</f>
        <v>50685910</v>
      </c>
      <c r="C68" s="5">
        <f>SUM(C69:C70)</f>
        <v>49312970</v>
      </c>
      <c r="D68" s="5">
        <f>SUM(D69:D70)</f>
        <v>43243268.07</v>
      </c>
      <c r="E68" s="5">
        <f>D68/C68*100</f>
        <v>87.691469546449952</v>
      </c>
      <c r="F68" s="5">
        <f>F69+F70</f>
        <v>32452275.43</v>
      </c>
      <c r="G68" s="5">
        <f>G69+G70</f>
        <v>27847388.289999999</v>
      </c>
      <c r="H68" s="5">
        <f>H69+H70</f>
        <v>6069701.9299999997</v>
      </c>
    </row>
    <row r="69" spans="1:8" x14ac:dyDescent="0.35">
      <c r="A69" s="3" t="s">
        <v>8</v>
      </c>
      <c r="B69" s="7">
        <f>7026710-30000</f>
        <v>6996710</v>
      </c>
      <c r="C69" s="7">
        <v>6074200</v>
      </c>
      <c r="D69" s="7">
        <v>5187781.07</v>
      </c>
      <c r="E69" s="8">
        <f>D69/C69*100</f>
        <v>85.406820157386989</v>
      </c>
      <c r="F69" s="8">
        <v>4939285.93</v>
      </c>
      <c r="G69" s="14">
        <v>4440254.79</v>
      </c>
      <c r="H69" s="10">
        <f>C69-D69</f>
        <v>886418.9299999997</v>
      </c>
    </row>
    <row r="70" spans="1:8" x14ac:dyDescent="0.35">
      <c r="A70" s="11" t="s">
        <v>9</v>
      </c>
      <c r="B70" s="12">
        <f>31722500+361671+9263379+2341650</f>
        <v>43689200</v>
      </c>
      <c r="C70" s="12">
        <f>31671801+361671+8890801+2314497</f>
        <v>43238770</v>
      </c>
      <c r="D70" s="12">
        <f>29638743.68+183899.57+1939532.68+6293311.07</f>
        <v>38055487</v>
      </c>
      <c r="E70" s="13">
        <f>D70/C70*100</f>
        <v>88.012418022066768</v>
      </c>
      <c r="F70" s="13">
        <f>23310103.82+183899.57+1386693.91+2632292.2</f>
        <v>27512989.5</v>
      </c>
      <c r="G70" s="15">
        <f>19654808.63+163273.19+1289699.8+2299351.88</f>
        <v>23407133.5</v>
      </c>
      <c r="H70" s="16">
        <f>C70-D70</f>
        <v>5183283</v>
      </c>
    </row>
    <row r="72" spans="1:8" ht="15.5" x14ac:dyDescent="0.35">
      <c r="A72" s="21" t="s">
        <v>23</v>
      </c>
      <c r="B72" s="21"/>
      <c r="C72" s="21"/>
      <c r="D72" s="21"/>
      <c r="E72" s="21"/>
      <c r="F72" s="21"/>
      <c r="G72" s="21"/>
      <c r="H72" s="21"/>
    </row>
    <row r="74" spans="1:8" ht="58" x14ac:dyDescent="0.35">
      <c r="A74" s="1" t="s">
        <v>1</v>
      </c>
      <c r="B74" s="2" t="s">
        <v>2</v>
      </c>
      <c r="C74" s="2" t="s">
        <v>3</v>
      </c>
      <c r="D74" s="1" t="s">
        <v>4</v>
      </c>
      <c r="E74" s="1" t="s">
        <v>5</v>
      </c>
      <c r="F74" s="1" t="s">
        <v>14</v>
      </c>
      <c r="G74" s="1" t="s">
        <v>15</v>
      </c>
      <c r="H74" s="1" t="s">
        <v>16</v>
      </c>
    </row>
    <row r="75" spans="1:8" x14ac:dyDescent="0.35">
      <c r="A75" s="4"/>
      <c r="B75" s="5">
        <f>SUM(B76:B77)</f>
        <v>50685910</v>
      </c>
      <c r="C75" s="5">
        <f>SUM(C76:C77)</f>
        <v>50194667</v>
      </c>
      <c r="D75" s="5">
        <f>SUM(D76:D77)</f>
        <v>45143121</v>
      </c>
      <c r="E75" s="5">
        <f>D75/C75*100</f>
        <v>89.936090222493164</v>
      </c>
      <c r="F75" s="5">
        <f>F76+F77</f>
        <v>38551132</v>
      </c>
      <c r="G75" s="5">
        <f>G76+G77</f>
        <v>32552359</v>
      </c>
      <c r="H75" s="5">
        <f>H76+H77</f>
        <v>5051546</v>
      </c>
    </row>
    <row r="76" spans="1:8" x14ac:dyDescent="0.35">
      <c r="A76" s="3" t="s">
        <v>8</v>
      </c>
      <c r="B76" s="7">
        <f>7026710-30000</f>
        <v>6996710</v>
      </c>
      <c r="C76" s="7">
        <v>6517892</v>
      </c>
      <c r="D76" s="7">
        <v>5684573</v>
      </c>
      <c r="E76" s="8">
        <f>D76/C76*100</f>
        <v>87.214900154835334</v>
      </c>
      <c r="F76" s="8">
        <v>5516166</v>
      </c>
      <c r="G76" s="14">
        <v>4761922</v>
      </c>
      <c r="H76" s="10">
        <f>C76-D76</f>
        <v>833319</v>
      </c>
    </row>
    <row r="77" spans="1:8" x14ac:dyDescent="0.35">
      <c r="A77" s="11" t="s">
        <v>9</v>
      </c>
      <c r="B77" s="12">
        <f>31722500+361671+9263379+2341650</f>
        <v>43689200</v>
      </c>
      <c r="C77" s="12">
        <v>43676775</v>
      </c>
      <c r="D77" s="12">
        <v>39458548</v>
      </c>
      <c r="E77" s="13">
        <f>D77/C77*100</f>
        <v>90.342173844108217</v>
      </c>
      <c r="F77" s="13">
        <v>33034966</v>
      </c>
      <c r="G77" s="15">
        <v>27790437</v>
      </c>
      <c r="H77" s="16">
        <f>C77-D77</f>
        <v>4218227</v>
      </c>
    </row>
    <row r="79" spans="1:8" ht="15.5" x14ac:dyDescent="0.35">
      <c r="A79" s="21" t="s">
        <v>24</v>
      </c>
      <c r="B79" s="21"/>
      <c r="C79" s="21"/>
      <c r="D79" s="21"/>
      <c r="E79" s="21"/>
      <c r="F79" s="21"/>
      <c r="G79" s="21"/>
      <c r="H79" s="21"/>
    </row>
    <row r="81" spans="1:8" ht="58" x14ac:dyDescent="0.35">
      <c r="A81" s="1" t="s">
        <v>1</v>
      </c>
      <c r="B81" s="2" t="s">
        <v>2</v>
      </c>
      <c r="C81" s="2" t="s">
        <v>3</v>
      </c>
      <c r="D81" s="1" t="s">
        <v>4</v>
      </c>
      <c r="E81" s="1" t="s">
        <v>5</v>
      </c>
      <c r="F81" s="1" t="s">
        <v>14</v>
      </c>
      <c r="G81" s="1" t="s">
        <v>15</v>
      </c>
      <c r="H81" s="1" t="s">
        <v>16</v>
      </c>
    </row>
    <row r="82" spans="1:8" x14ac:dyDescent="0.35">
      <c r="A82" s="23"/>
      <c r="B82" s="24">
        <f>SUM(B83:B84)</f>
        <v>50685910</v>
      </c>
      <c r="C82" s="24">
        <f>SUM(C83:C84)</f>
        <v>50685910</v>
      </c>
      <c r="D82" s="24">
        <f>SUM(D83:D84)</f>
        <v>45669070.140000001</v>
      </c>
      <c r="E82" s="25">
        <f>D82/C82*100</f>
        <v>90.102101629427196</v>
      </c>
      <c r="F82" s="25">
        <f>F83+F84</f>
        <v>40594474.560000002</v>
      </c>
      <c r="G82" s="26">
        <f>G83+G84</f>
        <v>36991158.149999999</v>
      </c>
      <c r="H82" s="27">
        <f>H83+H84</f>
        <v>5016839.8600000031</v>
      </c>
    </row>
    <row r="83" spans="1:8" x14ac:dyDescent="0.35">
      <c r="A83" s="3" t="s">
        <v>8</v>
      </c>
      <c r="B83" s="7">
        <f>7026710-30000</f>
        <v>6996710</v>
      </c>
      <c r="C83" s="7">
        <v>6996710</v>
      </c>
      <c r="D83" s="7">
        <v>6156726.8399999999</v>
      </c>
      <c r="E83" s="8">
        <f>D83/C83*100</f>
        <v>87.994598032503845</v>
      </c>
      <c r="F83" s="8">
        <v>6008807.8099999996</v>
      </c>
      <c r="G83" s="14">
        <v>5252892.66</v>
      </c>
      <c r="H83" s="10">
        <f>C83-D83</f>
        <v>839983.16000000015</v>
      </c>
    </row>
    <row r="84" spans="1:8" x14ac:dyDescent="0.35">
      <c r="A84" s="28" t="s">
        <v>9</v>
      </c>
      <c r="B84" s="29">
        <f>34064150+361671+9263379</f>
        <v>43689200</v>
      </c>
      <c r="C84" s="29">
        <f>34064150+361671+9263379</f>
        <v>43689200</v>
      </c>
      <c r="D84" s="29">
        <f>32303158.18+225551.85+6983633.27</f>
        <v>39512343.299999997</v>
      </c>
      <c r="E84" s="29">
        <f>D84/C84*100</f>
        <v>90.439612764710716</v>
      </c>
      <c r="F84" s="29">
        <f>29935639.12+4424475.78+225551.85</f>
        <v>34585666.75</v>
      </c>
      <c r="G84" s="30">
        <f>27900049.52+3643537.13+194678.84</f>
        <v>31738265.489999998</v>
      </c>
      <c r="H84" s="29">
        <f>C84-D84</f>
        <v>4176856.700000003</v>
      </c>
    </row>
  </sheetData>
  <mergeCells count="12">
    <mergeCell ref="A79:H79"/>
    <mergeCell ref="A72:H72"/>
    <mergeCell ref="A2:G2"/>
    <mergeCell ref="A9:G9"/>
    <mergeCell ref="A16:G16"/>
    <mergeCell ref="A23:G23"/>
    <mergeCell ref="A30:H30"/>
    <mergeCell ref="A65:H65"/>
    <mergeCell ref="A58:H58"/>
    <mergeCell ref="A51:H51"/>
    <mergeCell ref="A44:H44"/>
    <mergeCell ref="A37:H37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FBF0BF-B241-4712-991A-43B7078A7762}">
  <dimension ref="A1"/>
  <sheetViews>
    <sheetView workbookViewId="0"/>
  </sheetViews>
  <sheetFormatPr baseColWidth="10" defaultColWidth="8.7265625" defaultRowHeight="14.5" x14ac:dyDescent="0.35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Itzel Solano</dc:creator>
  <cp:lastModifiedBy>Jean Bernal</cp:lastModifiedBy>
  <cp:lastPrinted>2018-09-04T14:06:50Z</cp:lastPrinted>
  <dcterms:created xsi:type="dcterms:W3CDTF">2018-04-18T19:28:23Z</dcterms:created>
  <dcterms:modified xsi:type="dcterms:W3CDTF">2019-01-08T15:04:18Z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SRI_WORKBOOK_ID">
    <vt:lpwstr>6594241fd060458db47556028658fb34</vt:lpwstr>
  </property>
</Properties>
</file>