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bernal\Desktop\Ejecucion Presupuestaria\"/>
    </mc:Choice>
  </mc:AlternateContent>
  <xr:revisionPtr revIDLastSave="0" documentId="13_ncr:1_{22AC5468-1998-47E4-A65C-FB3736878A77}" xr6:coauthVersionLast="40" xr6:coauthVersionMax="40" xr10:uidLastSave="{00000000-0000-0000-0000-000000000000}"/>
  <bookViews>
    <workbookView xWindow="0" yWindow="600" windowWidth="19200" windowHeight="6840" xr2:uid="{00000000-000D-0000-FFFF-FFFF00000000}"/>
  </bookViews>
  <sheets>
    <sheet name="Hoja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1" i="1" l="1"/>
  <c r="H431" i="1" s="1"/>
  <c r="B431" i="1"/>
  <c r="G430" i="1"/>
  <c r="G429" i="1" s="1"/>
  <c r="F430" i="1"/>
  <c r="F429" i="1" s="1"/>
  <c r="D430" i="1"/>
  <c r="D429" i="1" s="1"/>
  <c r="C430" i="1"/>
  <c r="B430" i="1"/>
  <c r="H428" i="1"/>
  <c r="H427" i="1" s="1"/>
  <c r="E428" i="1"/>
  <c r="G427" i="1"/>
  <c r="F427" i="1"/>
  <c r="D427" i="1"/>
  <c r="C427" i="1"/>
  <c r="B427" i="1"/>
  <c r="H426" i="1"/>
  <c r="E426" i="1"/>
  <c r="H425" i="1"/>
  <c r="E425" i="1"/>
  <c r="H424" i="1"/>
  <c r="E424" i="1"/>
  <c r="H423" i="1"/>
  <c r="G422" i="1"/>
  <c r="F422" i="1"/>
  <c r="D422" i="1"/>
  <c r="C422" i="1"/>
  <c r="B422" i="1"/>
  <c r="H421" i="1"/>
  <c r="E421" i="1"/>
  <c r="H420" i="1"/>
  <c r="E420" i="1"/>
  <c r="H419" i="1"/>
  <c r="E419" i="1"/>
  <c r="G418" i="1"/>
  <c r="F418" i="1"/>
  <c r="D418" i="1"/>
  <c r="C418" i="1"/>
  <c r="B418" i="1"/>
  <c r="H417" i="1"/>
  <c r="E417" i="1"/>
  <c r="H416" i="1"/>
  <c r="E416" i="1"/>
  <c r="H415" i="1"/>
  <c r="E415" i="1"/>
  <c r="G414" i="1"/>
  <c r="F414" i="1"/>
  <c r="D414" i="1"/>
  <c r="C414" i="1"/>
  <c r="B414" i="1"/>
  <c r="H413" i="1"/>
  <c r="E413" i="1"/>
  <c r="G412" i="1"/>
  <c r="F412" i="1"/>
  <c r="D412" i="1"/>
  <c r="C412" i="1"/>
  <c r="B412" i="1"/>
  <c r="H411" i="1"/>
  <c r="E411" i="1"/>
  <c r="H410" i="1"/>
  <c r="E410" i="1"/>
  <c r="G409" i="1"/>
  <c r="F409" i="1"/>
  <c r="D409" i="1"/>
  <c r="C409" i="1"/>
  <c r="B409" i="1"/>
  <c r="H408" i="1"/>
  <c r="E408" i="1"/>
  <c r="H407" i="1"/>
  <c r="E407" i="1"/>
  <c r="H406" i="1"/>
  <c r="E406" i="1"/>
  <c r="H405" i="1"/>
  <c r="E405" i="1"/>
  <c r="H404" i="1"/>
  <c r="E404" i="1"/>
  <c r="H403" i="1"/>
  <c r="E403" i="1"/>
  <c r="H402" i="1"/>
  <c r="E402" i="1"/>
  <c r="G401" i="1"/>
  <c r="F401" i="1"/>
  <c r="D401" i="1"/>
  <c r="C401" i="1"/>
  <c r="B401" i="1"/>
  <c r="H409" i="1" l="1"/>
  <c r="H430" i="1"/>
  <c r="H429" i="1" s="1"/>
  <c r="H422" i="1"/>
  <c r="B429" i="1"/>
  <c r="B400" i="1" s="1"/>
  <c r="E409" i="1"/>
  <c r="E412" i="1"/>
  <c r="E414" i="1"/>
  <c r="H401" i="1"/>
  <c r="E422" i="1"/>
  <c r="E427" i="1"/>
  <c r="E430" i="1"/>
  <c r="E401" i="1"/>
  <c r="D400" i="1"/>
  <c r="H414" i="1"/>
  <c r="G400" i="1"/>
  <c r="H418" i="1"/>
  <c r="F400" i="1"/>
  <c r="H412" i="1"/>
  <c r="E431" i="1"/>
  <c r="E418" i="1"/>
  <c r="C429" i="1"/>
  <c r="E429" i="1" s="1"/>
  <c r="C395" i="1"/>
  <c r="H395" i="1" s="1"/>
  <c r="B395" i="1"/>
  <c r="G394" i="1"/>
  <c r="G393" i="1" s="1"/>
  <c r="F394" i="1"/>
  <c r="F393" i="1" s="1"/>
  <c r="D394" i="1"/>
  <c r="D393" i="1" s="1"/>
  <c r="C394" i="1"/>
  <c r="B394" i="1"/>
  <c r="H392" i="1"/>
  <c r="H391" i="1" s="1"/>
  <c r="E392" i="1"/>
  <c r="G391" i="1"/>
  <c r="F391" i="1"/>
  <c r="D391" i="1"/>
  <c r="C391" i="1"/>
  <c r="B391" i="1"/>
  <c r="H390" i="1"/>
  <c r="E390" i="1"/>
  <c r="H389" i="1"/>
  <c r="E389" i="1"/>
  <c r="H388" i="1"/>
  <c r="E388" i="1"/>
  <c r="H387" i="1"/>
  <c r="G386" i="1"/>
  <c r="F386" i="1"/>
  <c r="D386" i="1"/>
  <c r="C386" i="1"/>
  <c r="B386" i="1"/>
  <c r="H385" i="1"/>
  <c r="E385" i="1"/>
  <c r="H384" i="1"/>
  <c r="E384" i="1"/>
  <c r="H383" i="1"/>
  <c r="E383" i="1"/>
  <c r="G382" i="1"/>
  <c r="F382" i="1"/>
  <c r="D382" i="1"/>
  <c r="C382" i="1"/>
  <c r="B382" i="1"/>
  <c r="H381" i="1"/>
  <c r="E381" i="1"/>
  <c r="H380" i="1"/>
  <c r="E380" i="1"/>
  <c r="H379" i="1"/>
  <c r="E379" i="1"/>
  <c r="G378" i="1"/>
  <c r="F378" i="1"/>
  <c r="D378" i="1"/>
  <c r="C378" i="1"/>
  <c r="B378" i="1"/>
  <c r="H377" i="1"/>
  <c r="E377" i="1"/>
  <c r="G376" i="1"/>
  <c r="F376" i="1"/>
  <c r="D376" i="1"/>
  <c r="C376" i="1"/>
  <c r="B376" i="1"/>
  <c r="H375" i="1"/>
  <c r="E375" i="1"/>
  <c r="H374" i="1"/>
  <c r="E374" i="1"/>
  <c r="G373" i="1"/>
  <c r="F373" i="1"/>
  <c r="D373" i="1"/>
  <c r="C373" i="1"/>
  <c r="B373" i="1"/>
  <c r="H372" i="1"/>
  <c r="E372" i="1"/>
  <c r="H371" i="1"/>
  <c r="E371" i="1"/>
  <c r="H370" i="1"/>
  <c r="E370" i="1"/>
  <c r="H369" i="1"/>
  <c r="E369" i="1"/>
  <c r="H368" i="1"/>
  <c r="E368" i="1"/>
  <c r="H367" i="1"/>
  <c r="E367" i="1"/>
  <c r="H366" i="1"/>
  <c r="E366" i="1"/>
  <c r="G365" i="1"/>
  <c r="F365" i="1"/>
  <c r="D365" i="1"/>
  <c r="C365" i="1"/>
  <c r="B365" i="1"/>
  <c r="H382" i="1" l="1"/>
  <c r="B393" i="1"/>
  <c r="C400" i="1"/>
  <c r="E400" i="1" s="1"/>
  <c r="H400" i="1"/>
  <c r="H365" i="1"/>
  <c r="H394" i="1"/>
  <c r="H393" i="1" s="1"/>
  <c r="E373" i="1"/>
  <c r="E376" i="1"/>
  <c r="E378" i="1"/>
  <c r="E391" i="1"/>
  <c r="E394" i="1"/>
  <c r="E365" i="1"/>
  <c r="H373" i="1"/>
  <c r="H376" i="1"/>
  <c r="E382" i="1"/>
  <c r="E386" i="1"/>
  <c r="H386" i="1"/>
  <c r="H378" i="1"/>
  <c r="F364" i="1"/>
  <c r="B364" i="1"/>
  <c r="G364" i="1"/>
  <c r="E395" i="1"/>
  <c r="D364" i="1"/>
  <c r="C393" i="1"/>
  <c r="C364" i="1" s="1"/>
  <c r="C359" i="1"/>
  <c r="H359" i="1" s="1"/>
  <c r="B359" i="1"/>
  <c r="G358" i="1"/>
  <c r="G357" i="1" s="1"/>
  <c r="F358" i="1"/>
  <c r="F357" i="1" s="1"/>
  <c r="D358" i="1"/>
  <c r="D357" i="1" s="1"/>
  <c r="C358" i="1"/>
  <c r="B358" i="1"/>
  <c r="H356" i="1"/>
  <c r="H355" i="1" s="1"/>
  <c r="E356" i="1"/>
  <c r="G355" i="1"/>
  <c r="F355" i="1"/>
  <c r="D355" i="1"/>
  <c r="C355" i="1"/>
  <c r="B355" i="1"/>
  <c r="H354" i="1"/>
  <c r="E354" i="1"/>
  <c r="H353" i="1"/>
  <c r="E353" i="1"/>
  <c r="H352" i="1"/>
  <c r="E352" i="1"/>
  <c r="H351" i="1"/>
  <c r="G350" i="1"/>
  <c r="F350" i="1"/>
  <c r="D350" i="1"/>
  <c r="C350" i="1"/>
  <c r="B350" i="1"/>
  <c r="H349" i="1"/>
  <c r="E349" i="1"/>
  <c r="H348" i="1"/>
  <c r="E348" i="1"/>
  <c r="H347" i="1"/>
  <c r="E347" i="1"/>
  <c r="G346" i="1"/>
  <c r="F346" i="1"/>
  <c r="D346" i="1"/>
  <c r="C346" i="1"/>
  <c r="B346" i="1"/>
  <c r="H345" i="1"/>
  <c r="E345" i="1"/>
  <c r="H344" i="1"/>
  <c r="E344" i="1"/>
  <c r="H343" i="1"/>
  <c r="E343" i="1"/>
  <c r="G342" i="1"/>
  <c r="F342" i="1"/>
  <c r="D342" i="1"/>
  <c r="C342" i="1"/>
  <c r="B342" i="1"/>
  <c r="H341" i="1"/>
  <c r="E341" i="1"/>
  <c r="G340" i="1"/>
  <c r="F340" i="1"/>
  <c r="D340" i="1"/>
  <c r="C340" i="1"/>
  <c r="B340" i="1"/>
  <c r="H339" i="1"/>
  <c r="E339" i="1"/>
  <c r="H338" i="1"/>
  <c r="E338" i="1"/>
  <c r="G337" i="1"/>
  <c r="F337" i="1"/>
  <c r="D337" i="1"/>
  <c r="C337" i="1"/>
  <c r="B337" i="1"/>
  <c r="H336" i="1"/>
  <c r="E336" i="1"/>
  <c r="H335" i="1"/>
  <c r="E335" i="1"/>
  <c r="H334" i="1"/>
  <c r="E334" i="1"/>
  <c r="H333" i="1"/>
  <c r="E333" i="1"/>
  <c r="H332" i="1"/>
  <c r="E332" i="1"/>
  <c r="H331" i="1"/>
  <c r="E331" i="1"/>
  <c r="H330" i="1"/>
  <c r="E330" i="1"/>
  <c r="G329" i="1"/>
  <c r="F329" i="1"/>
  <c r="D329" i="1"/>
  <c r="C329" i="1"/>
  <c r="B329" i="1"/>
  <c r="H364" i="1" l="1"/>
  <c r="E364" i="1"/>
  <c r="E393" i="1"/>
  <c r="H337" i="1"/>
  <c r="H340" i="1"/>
  <c r="B357" i="1"/>
  <c r="B328" i="1" s="1"/>
  <c r="H358" i="1"/>
  <c r="H357" i="1" s="1"/>
  <c r="E337" i="1"/>
  <c r="E342" i="1"/>
  <c r="H329" i="1"/>
  <c r="H346" i="1"/>
  <c r="E355" i="1"/>
  <c r="E340" i="1"/>
  <c r="H342" i="1"/>
  <c r="H350" i="1"/>
  <c r="E329" i="1"/>
  <c r="E346" i="1"/>
  <c r="E350" i="1"/>
  <c r="G328" i="1"/>
  <c r="E358" i="1"/>
  <c r="F328" i="1"/>
  <c r="E359" i="1"/>
  <c r="D328" i="1"/>
  <c r="C357" i="1"/>
  <c r="E357" i="1" s="1"/>
  <c r="C323" i="1"/>
  <c r="H323" i="1" s="1"/>
  <c r="B323" i="1"/>
  <c r="G322" i="1"/>
  <c r="G321" i="1" s="1"/>
  <c r="F322" i="1"/>
  <c r="F321" i="1" s="1"/>
  <c r="D322" i="1"/>
  <c r="C322" i="1"/>
  <c r="B322" i="1"/>
  <c r="H320" i="1"/>
  <c r="H319" i="1" s="1"/>
  <c r="E320" i="1"/>
  <c r="G319" i="1"/>
  <c r="F319" i="1"/>
  <c r="D319" i="1"/>
  <c r="C319" i="1"/>
  <c r="B319" i="1"/>
  <c r="H318" i="1"/>
  <c r="E318" i="1"/>
  <c r="H317" i="1"/>
  <c r="E317" i="1"/>
  <c r="H316" i="1"/>
  <c r="E316" i="1"/>
  <c r="H315" i="1"/>
  <c r="G314" i="1"/>
  <c r="F314" i="1"/>
  <c r="D314" i="1"/>
  <c r="C314" i="1"/>
  <c r="B314" i="1"/>
  <c r="H313" i="1"/>
  <c r="E313" i="1"/>
  <c r="H312" i="1"/>
  <c r="E312" i="1"/>
  <c r="H311" i="1"/>
  <c r="E311" i="1"/>
  <c r="G310" i="1"/>
  <c r="F310" i="1"/>
  <c r="D310" i="1"/>
  <c r="C310" i="1"/>
  <c r="B310" i="1"/>
  <c r="H309" i="1"/>
  <c r="E309" i="1"/>
  <c r="H308" i="1"/>
  <c r="E308" i="1"/>
  <c r="H307" i="1"/>
  <c r="E307" i="1"/>
  <c r="G306" i="1"/>
  <c r="F306" i="1"/>
  <c r="D306" i="1"/>
  <c r="C306" i="1"/>
  <c r="B306" i="1"/>
  <c r="H305" i="1"/>
  <c r="E305" i="1"/>
  <c r="G304" i="1"/>
  <c r="F304" i="1"/>
  <c r="D304" i="1"/>
  <c r="C304" i="1"/>
  <c r="B304" i="1"/>
  <c r="H303" i="1"/>
  <c r="E303" i="1"/>
  <c r="H302" i="1"/>
  <c r="E302" i="1"/>
  <c r="G301" i="1"/>
  <c r="F301" i="1"/>
  <c r="D301" i="1"/>
  <c r="C301" i="1"/>
  <c r="B301" i="1"/>
  <c r="H300" i="1"/>
  <c r="E300" i="1"/>
  <c r="H299" i="1"/>
  <c r="E299" i="1"/>
  <c r="H298" i="1"/>
  <c r="E298" i="1"/>
  <c r="H297" i="1"/>
  <c r="E297" i="1"/>
  <c r="H296" i="1"/>
  <c r="E296" i="1"/>
  <c r="H295" i="1"/>
  <c r="E295" i="1"/>
  <c r="H294" i="1"/>
  <c r="E294" i="1"/>
  <c r="G293" i="1"/>
  <c r="F293" i="1"/>
  <c r="D293" i="1"/>
  <c r="C293" i="1"/>
  <c r="B293" i="1"/>
  <c r="H293" i="1" l="1"/>
  <c r="E293" i="1"/>
  <c r="E301" i="1"/>
  <c r="H322" i="1"/>
  <c r="H321" i="1" s="1"/>
  <c r="E322" i="1"/>
  <c r="E310" i="1"/>
  <c r="H310" i="1"/>
  <c r="D321" i="1"/>
  <c r="D292" i="1" s="1"/>
  <c r="H328" i="1"/>
  <c r="H301" i="1"/>
  <c r="E304" i="1"/>
  <c r="H306" i="1"/>
  <c r="B321" i="1"/>
  <c r="C328" i="1"/>
  <c r="E328" i="1" s="1"/>
  <c r="E306" i="1"/>
  <c r="E314" i="1"/>
  <c r="E319" i="1"/>
  <c r="H314" i="1"/>
  <c r="G292" i="1"/>
  <c r="F292" i="1"/>
  <c r="B292" i="1"/>
  <c r="H304" i="1"/>
  <c r="E323" i="1"/>
  <c r="C321" i="1"/>
  <c r="H292" i="1" l="1"/>
  <c r="E321" i="1"/>
  <c r="C292" i="1"/>
  <c r="E292" i="1" s="1"/>
  <c r="B257" i="1"/>
  <c r="C257" i="1"/>
  <c r="D257" i="1"/>
  <c r="F257" i="1"/>
  <c r="G257" i="1"/>
  <c r="E258" i="1"/>
  <c r="H258" i="1"/>
  <c r="E259" i="1"/>
  <c r="H259" i="1"/>
  <c r="E260" i="1"/>
  <c r="H260" i="1"/>
  <c r="E261" i="1"/>
  <c r="H261" i="1"/>
  <c r="E262" i="1"/>
  <c r="H262" i="1"/>
  <c r="E263" i="1"/>
  <c r="H263" i="1"/>
  <c r="E264" i="1"/>
  <c r="H264" i="1"/>
  <c r="B265" i="1"/>
  <c r="C265" i="1"/>
  <c r="D265" i="1"/>
  <c r="F265" i="1"/>
  <c r="G265" i="1"/>
  <c r="E266" i="1"/>
  <c r="H266" i="1"/>
  <c r="E267" i="1"/>
  <c r="H267" i="1"/>
  <c r="B268" i="1"/>
  <c r="C268" i="1"/>
  <c r="D268" i="1"/>
  <c r="F268" i="1"/>
  <c r="G268" i="1"/>
  <c r="H269" i="1"/>
  <c r="B270" i="1"/>
  <c r="C270" i="1"/>
  <c r="D270" i="1"/>
  <c r="F270" i="1"/>
  <c r="G270" i="1"/>
  <c r="E271" i="1"/>
  <c r="H271" i="1"/>
  <c r="E272" i="1"/>
  <c r="H272" i="1"/>
  <c r="E273" i="1"/>
  <c r="H273" i="1"/>
  <c r="B274" i="1"/>
  <c r="C274" i="1"/>
  <c r="D274" i="1"/>
  <c r="F274" i="1"/>
  <c r="G274" i="1"/>
  <c r="E275" i="1"/>
  <c r="H275" i="1"/>
  <c r="E276" i="1"/>
  <c r="H276" i="1"/>
  <c r="E277" i="1"/>
  <c r="H277" i="1"/>
  <c r="B278" i="1"/>
  <c r="C278" i="1"/>
  <c r="D278" i="1"/>
  <c r="F278" i="1"/>
  <c r="G278" i="1"/>
  <c r="H279" i="1"/>
  <c r="E280" i="1"/>
  <c r="H280" i="1"/>
  <c r="E281" i="1"/>
  <c r="H281" i="1"/>
  <c r="E282" i="1"/>
  <c r="H282" i="1"/>
  <c r="B283" i="1"/>
  <c r="C283" i="1"/>
  <c r="D283" i="1"/>
  <c r="F283" i="1"/>
  <c r="G283" i="1"/>
  <c r="E284" i="1"/>
  <c r="H284" i="1"/>
  <c r="H283" i="1" s="1"/>
  <c r="B286" i="1"/>
  <c r="C286" i="1"/>
  <c r="D286" i="1"/>
  <c r="D285" i="1" s="1"/>
  <c r="F286" i="1"/>
  <c r="F285" i="1" s="1"/>
  <c r="G286" i="1"/>
  <c r="G285" i="1" s="1"/>
  <c r="B287" i="1"/>
  <c r="C287" i="1"/>
  <c r="H287" i="1" s="1"/>
  <c r="E283" i="1" l="1"/>
  <c r="H268" i="1"/>
  <c r="H265" i="1"/>
  <c r="E286" i="1"/>
  <c r="E270" i="1"/>
  <c r="H278" i="1"/>
  <c r="H274" i="1"/>
  <c r="E287" i="1"/>
  <c r="G256" i="1"/>
  <c r="F256" i="1"/>
  <c r="E278" i="1"/>
  <c r="D256" i="1"/>
  <c r="B285" i="1"/>
  <c r="B256" i="1" s="1"/>
  <c r="H270" i="1"/>
  <c r="C285" i="1"/>
  <c r="E285" i="1" s="1"/>
  <c r="E274" i="1"/>
  <c r="H257" i="1"/>
  <c r="E265" i="1"/>
  <c r="E257" i="1"/>
  <c r="H286" i="1"/>
  <c r="H285" i="1" s="1"/>
  <c r="C251" i="1"/>
  <c r="H251" i="1" s="1"/>
  <c r="B251" i="1"/>
  <c r="G250" i="1"/>
  <c r="G249" i="1" s="1"/>
  <c r="F250" i="1"/>
  <c r="F249" i="1" s="1"/>
  <c r="D250" i="1"/>
  <c r="D249" i="1" s="1"/>
  <c r="C250" i="1"/>
  <c r="B250" i="1"/>
  <c r="H248" i="1"/>
  <c r="H247" i="1" s="1"/>
  <c r="E248" i="1"/>
  <c r="G247" i="1"/>
  <c r="F247" i="1"/>
  <c r="D247" i="1"/>
  <c r="C247" i="1"/>
  <c r="B247" i="1"/>
  <c r="H246" i="1"/>
  <c r="E246" i="1"/>
  <c r="H245" i="1"/>
  <c r="E245" i="1"/>
  <c r="H244" i="1"/>
  <c r="E244" i="1"/>
  <c r="H243" i="1"/>
  <c r="G242" i="1"/>
  <c r="F242" i="1"/>
  <c r="D242" i="1"/>
  <c r="C242" i="1"/>
  <c r="B242" i="1"/>
  <c r="H241" i="1"/>
  <c r="E241" i="1"/>
  <c r="H240" i="1"/>
  <c r="E240" i="1"/>
  <c r="H239" i="1"/>
  <c r="E239" i="1"/>
  <c r="G238" i="1"/>
  <c r="F238" i="1"/>
  <c r="D238" i="1"/>
  <c r="C238" i="1"/>
  <c r="B238" i="1"/>
  <c r="H237" i="1"/>
  <c r="E237" i="1"/>
  <c r="H236" i="1"/>
  <c r="E236" i="1"/>
  <c r="H235" i="1"/>
  <c r="E235" i="1"/>
  <c r="G234" i="1"/>
  <c r="F234" i="1"/>
  <c r="D234" i="1"/>
  <c r="C234" i="1"/>
  <c r="B234" i="1"/>
  <c r="H233" i="1"/>
  <c r="G232" i="1"/>
  <c r="F232" i="1"/>
  <c r="D232" i="1"/>
  <c r="C232" i="1"/>
  <c r="B232" i="1"/>
  <c r="H231" i="1"/>
  <c r="E231" i="1"/>
  <c r="H230" i="1"/>
  <c r="E230" i="1"/>
  <c r="G229" i="1"/>
  <c r="F229" i="1"/>
  <c r="D229" i="1"/>
  <c r="C229" i="1"/>
  <c r="B229" i="1"/>
  <c r="H228" i="1"/>
  <c r="E228" i="1"/>
  <c r="H227" i="1"/>
  <c r="E227" i="1"/>
  <c r="H226" i="1"/>
  <c r="E226" i="1"/>
  <c r="H225" i="1"/>
  <c r="E225" i="1"/>
  <c r="H224" i="1"/>
  <c r="E224" i="1"/>
  <c r="H223" i="1"/>
  <c r="E223" i="1"/>
  <c r="H222" i="1"/>
  <c r="E222" i="1"/>
  <c r="G221" i="1"/>
  <c r="F221" i="1"/>
  <c r="D221" i="1"/>
  <c r="C221" i="1"/>
  <c r="B221" i="1"/>
  <c r="H229" i="1" l="1"/>
  <c r="H242" i="1"/>
  <c r="B249" i="1"/>
  <c r="B220" i="1" s="1"/>
  <c r="H256" i="1"/>
  <c r="H221" i="1"/>
  <c r="C256" i="1"/>
  <c r="E256" i="1" s="1"/>
  <c r="F220" i="1"/>
  <c r="H232" i="1"/>
  <c r="H250" i="1"/>
  <c r="H249" i="1" s="1"/>
  <c r="E234" i="1"/>
  <c r="E242" i="1"/>
  <c r="E247" i="1"/>
  <c r="E250" i="1"/>
  <c r="G220" i="1"/>
  <c r="E229" i="1"/>
  <c r="E238" i="1"/>
  <c r="D220" i="1"/>
  <c r="H234" i="1"/>
  <c r="H238" i="1"/>
  <c r="E221" i="1"/>
  <c r="E251" i="1"/>
  <c r="C249" i="1"/>
  <c r="C220" i="1" s="1"/>
  <c r="C215" i="1"/>
  <c r="H215" i="1" s="1"/>
  <c r="B215" i="1"/>
  <c r="G214" i="1"/>
  <c r="G213" i="1" s="1"/>
  <c r="F214" i="1"/>
  <c r="F213" i="1" s="1"/>
  <c r="D214" i="1"/>
  <c r="D213" i="1" s="1"/>
  <c r="C214" i="1"/>
  <c r="B214" i="1"/>
  <c r="H212" i="1"/>
  <c r="H211" i="1" s="1"/>
  <c r="E212" i="1"/>
  <c r="G211" i="1"/>
  <c r="F211" i="1"/>
  <c r="D211" i="1"/>
  <c r="C211" i="1"/>
  <c r="B211" i="1"/>
  <c r="H210" i="1"/>
  <c r="E210" i="1"/>
  <c r="H209" i="1"/>
  <c r="E209" i="1"/>
  <c r="H208" i="1"/>
  <c r="E208" i="1"/>
  <c r="H207" i="1"/>
  <c r="G206" i="1"/>
  <c r="F206" i="1"/>
  <c r="D206" i="1"/>
  <c r="C206" i="1"/>
  <c r="B206" i="1"/>
  <c r="H205" i="1"/>
  <c r="E205" i="1"/>
  <c r="H204" i="1"/>
  <c r="E204" i="1"/>
  <c r="H203" i="1"/>
  <c r="E203" i="1"/>
  <c r="G202" i="1"/>
  <c r="F202" i="1"/>
  <c r="D202" i="1"/>
  <c r="C202" i="1"/>
  <c r="B202" i="1"/>
  <c r="H201" i="1"/>
  <c r="E201" i="1"/>
  <c r="H200" i="1"/>
  <c r="E200" i="1"/>
  <c r="H199" i="1"/>
  <c r="E199" i="1"/>
  <c r="G198" i="1"/>
  <c r="F198" i="1"/>
  <c r="D198" i="1"/>
  <c r="C198" i="1"/>
  <c r="B198" i="1"/>
  <c r="H197" i="1"/>
  <c r="H196" i="1" s="1"/>
  <c r="F196" i="1"/>
  <c r="D196" i="1"/>
  <c r="C196" i="1"/>
  <c r="B196" i="1"/>
  <c r="H195" i="1"/>
  <c r="E195" i="1"/>
  <c r="H194" i="1"/>
  <c r="E194" i="1"/>
  <c r="G193" i="1"/>
  <c r="F193" i="1"/>
  <c r="D193" i="1"/>
  <c r="C193" i="1"/>
  <c r="B193" i="1"/>
  <c r="H192" i="1"/>
  <c r="E192" i="1"/>
  <c r="H191" i="1"/>
  <c r="E191" i="1"/>
  <c r="H190" i="1"/>
  <c r="E190" i="1"/>
  <c r="H189" i="1"/>
  <c r="E189" i="1"/>
  <c r="H188" i="1"/>
  <c r="E188" i="1"/>
  <c r="H187" i="1"/>
  <c r="E187" i="1"/>
  <c r="H186" i="1"/>
  <c r="E186" i="1"/>
  <c r="G185" i="1"/>
  <c r="F185" i="1"/>
  <c r="D185" i="1"/>
  <c r="C185" i="1"/>
  <c r="B185" i="1"/>
  <c r="B213" i="1" l="1"/>
  <c r="B184" i="1" s="1"/>
  <c r="H193" i="1"/>
  <c r="H198" i="1"/>
  <c r="E215" i="1"/>
  <c r="H206" i="1"/>
  <c r="E220" i="1"/>
  <c r="E185" i="1"/>
  <c r="E206" i="1"/>
  <c r="H220" i="1"/>
  <c r="E193" i="1"/>
  <c r="E198" i="1"/>
  <c r="E202" i="1"/>
  <c r="H202" i="1"/>
  <c r="E249" i="1"/>
  <c r="D184" i="1"/>
  <c r="H185" i="1"/>
  <c r="H214" i="1"/>
  <c r="H213" i="1" s="1"/>
  <c r="F184" i="1"/>
  <c r="E211" i="1"/>
  <c r="G184" i="1"/>
  <c r="E214" i="1"/>
  <c r="C213" i="1"/>
  <c r="E213" i="1" s="1"/>
  <c r="G179" i="1"/>
  <c r="E179" i="1"/>
  <c r="I179" i="1" s="1"/>
  <c r="H178" i="1"/>
  <c r="H177" i="1" s="1"/>
  <c r="G178" i="1"/>
  <c r="E178" i="1"/>
  <c r="D178" i="1"/>
  <c r="C178" i="1"/>
  <c r="C177" i="1" s="1"/>
  <c r="I176" i="1"/>
  <c r="I175" i="1" s="1"/>
  <c r="F176" i="1"/>
  <c r="H175" i="1"/>
  <c r="G175" i="1"/>
  <c r="E175" i="1"/>
  <c r="D175" i="1"/>
  <c r="C175" i="1"/>
  <c r="I174" i="1"/>
  <c r="F174" i="1"/>
  <c r="I173" i="1"/>
  <c r="F173" i="1"/>
  <c r="I172" i="1"/>
  <c r="F172" i="1"/>
  <c r="I171" i="1"/>
  <c r="H170" i="1"/>
  <c r="G170" i="1"/>
  <c r="E170" i="1"/>
  <c r="D170" i="1"/>
  <c r="C170" i="1"/>
  <c r="I169" i="1"/>
  <c r="I168" i="1"/>
  <c r="F168" i="1"/>
  <c r="I167" i="1"/>
  <c r="F167" i="1"/>
  <c r="H166" i="1"/>
  <c r="G166" i="1"/>
  <c r="E166" i="1"/>
  <c r="D166" i="1"/>
  <c r="C166" i="1"/>
  <c r="I165" i="1"/>
  <c r="F165" i="1"/>
  <c r="I164" i="1"/>
  <c r="F164" i="1"/>
  <c r="I163" i="1"/>
  <c r="F163" i="1"/>
  <c r="H162" i="1"/>
  <c r="G162" i="1"/>
  <c r="E162" i="1"/>
  <c r="D162" i="1"/>
  <c r="C162" i="1"/>
  <c r="I161" i="1"/>
  <c r="I160" i="1" s="1"/>
  <c r="G160" i="1"/>
  <c r="E160" i="1"/>
  <c r="D160" i="1"/>
  <c r="C160" i="1"/>
  <c r="I159" i="1"/>
  <c r="F159" i="1"/>
  <c r="I158" i="1"/>
  <c r="F158" i="1"/>
  <c r="H157" i="1"/>
  <c r="G157" i="1"/>
  <c r="E157" i="1"/>
  <c r="D157" i="1"/>
  <c r="C157" i="1"/>
  <c r="I156" i="1"/>
  <c r="F156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H149" i="1"/>
  <c r="G149" i="1"/>
  <c r="E149" i="1"/>
  <c r="D149" i="1"/>
  <c r="C149" i="1"/>
  <c r="H143" i="1"/>
  <c r="F143" i="1"/>
  <c r="G142" i="1"/>
  <c r="G141" i="1" s="1"/>
  <c r="E142" i="1"/>
  <c r="D142" i="1"/>
  <c r="C142" i="1"/>
  <c r="C141" i="1" s="1"/>
  <c r="H140" i="1"/>
  <c r="H139" i="1" s="1"/>
  <c r="F140" i="1"/>
  <c r="G139" i="1"/>
  <c r="E139" i="1"/>
  <c r="D139" i="1"/>
  <c r="C139" i="1"/>
  <c r="H138" i="1"/>
  <c r="F138" i="1"/>
  <c r="H137" i="1"/>
  <c r="F137" i="1"/>
  <c r="H136" i="1"/>
  <c r="F136" i="1"/>
  <c r="H135" i="1"/>
  <c r="G134" i="1"/>
  <c r="E134" i="1"/>
  <c r="D134" i="1"/>
  <c r="C134" i="1"/>
  <c r="H133" i="1"/>
  <c r="F133" i="1"/>
  <c r="H132" i="1"/>
  <c r="F132" i="1"/>
  <c r="H131" i="1"/>
  <c r="F131" i="1"/>
  <c r="G130" i="1"/>
  <c r="E130" i="1"/>
  <c r="D130" i="1"/>
  <c r="C130" i="1"/>
  <c r="H129" i="1"/>
  <c r="F129" i="1"/>
  <c r="H128" i="1"/>
  <c r="F128" i="1"/>
  <c r="H127" i="1"/>
  <c r="F127" i="1"/>
  <c r="G126" i="1"/>
  <c r="E126" i="1"/>
  <c r="D126" i="1"/>
  <c r="C126" i="1"/>
  <c r="H125" i="1"/>
  <c r="H124" i="1" s="1"/>
  <c r="E124" i="1"/>
  <c r="D124" i="1"/>
  <c r="C124" i="1"/>
  <c r="H123" i="1"/>
  <c r="F123" i="1"/>
  <c r="H122" i="1"/>
  <c r="F122" i="1"/>
  <c r="G121" i="1"/>
  <c r="E121" i="1"/>
  <c r="D121" i="1"/>
  <c r="C121" i="1"/>
  <c r="H120" i="1"/>
  <c r="F120" i="1"/>
  <c r="H119" i="1"/>
  <c r="F119" i="1"/>
  <c r="H118" i="1"/>
  <c r="F118" i="1"/>
  <c r="H117" i="1"/>
  <c r="F117" i="1"/>
  <c r="H116" i="1"/>
  <c r="F116" i="1"/>
  <c r="H115" i="1"/>
  <c r="F115" i="1"/>
  <c r="H114" i="1"/>
  <c r="F114" i="1"/>
  <c r="G113" i="1"/>
  <c r="E113" i="1"/>
  <c r="D113" i="1"/>
  <c r="C113" i="1"/>
  <c r="H184" i="1" l="1"/>
  <c r="F142" i="1"/>
  <c r="F162" i="1"/>
  <c r="F178" i="1"/>
  <c r="F157" i="1"/>
  <c r="I157" i="1"/>
  <c r="I166" i="1"/>
  <c r="F175" i="1"/>
  <c r="G177" i="1"/>
  <c r="G148" i="1" s="1"/>
  <c r="H142" i="1"/>
  <c r="H141" i="1" s="1"/>
  <c r="I178" i="1"/>
  <c r="I177" i="1" s="1"/>
  <c r="C184" i="1"/>
  <c r="E184" i="1" s="1"/>
  <c r="F149" i="1"/>
  <c r="I149" i="1"/>
  <c r="F170" i="1"/>
  <c r="I162" i="1"/>
  <c r="I170" i="1"/>
  <c r="E141" i="1"/>
  <c r="E112" i="1" s="1"/>
  <c r="H148" i="1"/>
  <c r="F166" i="1"/>
  <c r="E177" i="1"/>
  <c r="E148" i="1" s="1"/>
  <c r="C148" i="1"/>
  <c r="F179" i="1"/>
  <c r="D177" i="1"/>
  <c r="D148" i="1" s="1"/>
  <c r="F130" i="1"/>
  <c r="H121" i="1"/>
  <c r="H126" i="1"/>
  <c r="F134" i="1"/>
  <c r="D141" i="1"/>
  <c r="H113" i="1"/>
  <c r="F126" i="1"/>
  <c r="F121" i="1"/>
  <c r="C112" i="1"/>
  <c r="G112" i="1"/>
  <c r="H134" i="1"/>
  <c r="F139" i="1"/>
  <c r="H130" i="1"/>
  <c r="F113" i="1"/>
  <c r="H107" i="1"/>
  <c r="F107" i="1"/>
  <c r="G106" i="1"/>
  <c r="G105" i="1" s="1"/>
  <c r="E106" i="1"/>
  <c r="D106" i="1"/>
  <c r="D105" i="1" s="1"/>
  <c r="C106" i="1"/>
  <c r="C105" i="1" s="1"/>
  <c r="H104" i="1"/>
  <c r="H103" i="1" s="1"/>
  <c r="F104" i="1"/>
  <c r="G103" i="1"/>
  <c r="E103" i="1"/>
  <c r="D103" i="1"/>
  <c r="C103" i="1"/>
  <c r="H102" i="1"/>
  <c r="F102" i="1"/>
  <c r="H101" i="1"/>
  <c r="F101" i="1"/>
  <c r="H100" i="1"/>
  <c r="F100" i="1"/>
  <c r="H99" i="1"/>
  <c r="G98" i="1"/>
  <c r="E98" i="1"/>
  <c r="D98" i="1"/>
  <c r="C98" i="1"/>
  <c r="H97" i="1"/>
  <c r="H96" i="1"/>
  <c r="H95" i="1"/>
  <c r="F95" i="1"/>
  <c r="G94" i="1"/>
  <c r="E94" i="1"/>
  <c r="D94" i="1"/>
  <c r="C94" i="1"/>
  <c r="H93" i="1"/>
  <c r="H92" i="1"/>
  <c r="F92" i="1"/>
  <c r="H91" i="1"/>
  <c r="F91" i="1"/>
  <c r="G90" i="1"/>
  <c r="E90" i="1"/>
  <c r="D90" i="1"/>
  <c r="C90" i="1"/>
  <c r="H89" i="1"/>
  <c r="H88" i="1" s="1"/>
  <c r="E88" i="1"/>
  <c r="D88" i="1"/>
  <c r="C88" i="1"/>
  <c r="H87" i="1"/>
  <c r="F87" i="1"/>
  <c r="H86" i="1"/>
  <c r="G85" i="1"/>
  <c r="E85" i="1"/>
  <c r="D85" i="1"/>
  <c r="C85" i="1"/>
  <c r="H84" i="1"/>
  <c r="F84" i="1"/>
  <c r="H83" i="1"/>
  <c r="H82" i="1"/>
  <c r="H81" i="1"/>
  <c r="H80" i="1"/>
  <c r="H79" i="1"/>
  <c r="H78" i="1"/>
  <c r="G77" i="1"/>
  <c r="E77" i="1"/>
  <c r="D77" i="1"/>
  <c r="C77" i="1"/>
  <c r="H71" i="1"/>
  <c r="F71" i="1"/>
  <c r="H70" i="1"/>
  <c r="F70" i="1"/>
  <c r="G69" i="1"/>
  <c r="E69" i="1"/>
  <c r="D69" i="1"/>
  <c r="C69" i="1"/>
  <c r="H68" i="1"/>
  <c r="H67" i="1" s="1"/>
  <c r="F68" i="1"/>
  <c r="G67" i="1"/>
  <c r="E67" i="1"/>
  <c r="D67" i="1"/>
  <c r="C67" i="1"/>
  <c r="H66" i="1"/>
  <c r="F66" i="1"/>
  <c r="H65" i="1"/>
  <c r="F65" i="1"/>
  <c r="H64" i="1"/>
  <c r="F64" i="1"/>
  <c r="H63" i="1"/>
  <c r="G62" i="1"/>
  <c r="E62" i="1"/>
  <c r="D62" i="1"/>
  <c r="C62" i="1"/>
  <c r="H61" i="1"/>
  <c r="H60" i="1"/>
  <c r="H59" i="1"/>
  <c r="F59" i="1"/>
  <c r="G58" i="1"/>
  <c r="E58" i="1"/>
  <c r="D58" i="1"/>
  <c r="C58" i="1"/>
  <c r="H57" i="1"/>
  <c r="H56" i="1"/>
  <c r="F56" i="1"/>
  <c r="H55" i="1"/>
  <c r="F55" i="1"/>
  <c r="G54" i="1"/>
  <c r="E54" i="1"/>
  <c r="D54" i="1"/>
  <c r="C54" i="1"/>
  <c r="H53" i="1"/>
  <c r="H52" i="1" s="1"/>
  <c r="E52" i="1"/>
  <c r="D52" i="1"/>
  <c r="C52" i="1"/>
  <c r="H51" i="1"/>
  <c r="F51" i="1"/>
  <c r="H50" i="1"/>
  <c r="G49" i="1"/>
  <c r="E49" i="1"/>
  <c r="D49" i="1"/>
  <c r="C49" i="1"/>
  <c r="H48" i="1"/>
  <c r="F48" i="1"/>
  <c r="H47" i="1"/>
  <c r="H46" i="1"/>
  <c r="H45" i="1"/>
  <c r="H44" i="1"/>
  <c r="H43" i="1"/>
  <c r="H42" i="1"/>
  <c r="G41" i="1"/>
  <c r="E41" i="1"/>
  <c r="D41" i="1"/>
  <c r="C41" i="1"/>
  <c r="H34" i="1"/>
  <c r="H33" i="1" s="1"/>
  <c r="G33" i="1"/>
  <c r="E33" i="1"/>
  <c r="D33" i="1"/>
  <c r="C33" i="1"/>
  <c r="H32" i="1"/>
  <c r="H31" i="1" s="1"/>
  <c r="G31" i="1"/>
  <c r="E31" i="1"/>
  <c r="D31" i="1"/>
  <c r="C31" i="1"/>
  <c r="H30" i="1"/>
  <c r="F30" i="1"/>
  <c r="H29" i="1"/>
  <c r="F29" i="1"/>
  <c r="H28" i="1"/>
  <c r="F28" i="1"/>
  <c r="H27" i="1"/>
  <c r="G26" i="1"/>
  <c r="E26" i="1"/>
  <c r="D26" i="1"/>
  <c r="C26" i="1"/>
  <c r="H25" i="1"/>
  <c r="H24" i="1"/>
  <c r="H23" i="1"/>
  <c r="F23" i="1"/>
  <c r="G22" i="1"/>
  <c r="E22" i="1"/>
  <c r="D22" i="1"/>
  <c r="C22" i="1"/>
  <c r="H20" i="1"/>
  <c r="H19" i="1"/>
  <c r="F19" i="1"/>
  <c r="H18" i="1"/>
  <c r="F18" i="1"/>
  <c r="G17" i="1"/>
  <c r="E17" i="1"/>
  <c r="D17" i="1"/>
  <c r="C17" i="1"/>
  <c r="H16" i="1"/>
  <c r="H15" i="1" s="1"/>
  <c r="E15" i="1"/>
  <c r="D15" i="1"/>
  <c r="C15" i="1"/>
  <c r="H14" i="1"/>
  <c r="F14" i="1"/>
  <c r="H13" i="1"/>
  <c r="G12" i="1"/>
  <c r="E12" i="1"/>
  <c r="D12" i="1"/>
  <c r="C12" i="1"/>
  <c r="H11" i="1"/>
  <c r="F11" i="1"/>
  <c r="H10" i="1"/>
  <c r="H9" i="1"/>
  <c r="H8" i="1"/>
  <c r="H7" i="1"/>
  <c r="H6" i="1"/>
  <c r="H5" i="1"/>
  <c r="G4" i="1"/>
  <c r="E4" i="1"/>
  <c r="D4" i="1"/>
  <c r="C4" i="1"/>
  <c r="F141" i="1" l="1"/>
  <c r="F177" i="1"/>
  <c r="F26" i="1"/>
  <c r="I148" i="1"/>
  <c r="D112" i="1"/>
  <c r="F112" i="1" s="1"/>
  <c r="H112" i="1"/>
  <c r="F148" i="1"/>
  <c r="H77" i="1"/>
  <c r="F90" i="1"/>
  <c r="C40" i="1"/>
  <c r="F98" i="1"/>
  <c r="D3" i="1"/>
  <c r="H62" i="1"/>
  <c r="F67" i="1"/>
  <c r="H98" i="1"/>
  <c r="F106" i="1"/>
  <c r="G40" i="1"/>
  <c r="F22" i="1"/>
  <c r="F69" i="1"/>
  <c r="F77" i="1"/>
  <c r="F94" i="1"/>
  <c r="F103" i="1"/>
  <c r="G3" i="1"/>
  <c r="G76" i="1"/>
  <c r="H94" i="1"/>
  <c r="C3" i="1"/>
  <c r="H12" i="1"/>
  <c r="H26" i="1"/>
  <c r="E40" i="1"/>
  <c r="F49" i="1"/>
  <c r="F58" i="1"/>
  <c r="H85" i="1"/>
  <c r="H90" i="1"/>
  <c r="E3" i="1"/>
  <c r="F12" i="1"/>
  <c r="F17" i="1"/>
  <c r="H49" i="1"/>
  <c r="F54" i="1"/>
  <c r="F85" i="1"/>
  <c r="E105" i="1"/>
  <c r="F105" i="1" s="1"/>
  <c r="H22" i="1"/>
  <c r="H41" i="1"/>
  <c r="H58" i="1"/>
  <c r="H69" i="1"/>
  <c r="C76" i="1"/>
  <c r="H4" i="1"/>
  <c r="H17" i="1"/>
  <c r="D40" i="1"/>
  <c r="H54" i="1"/>
  <c r="F62" i="1"/>
  <c r="D76" i="1"/>
  <c r="H106" i="1"/>
  <c r="H105" i="1" s="1"/>
  <c r="F4" i="1"/>
  <c r="F41" i="1"/>
  <c r="F3" i="1" l="1"/>
  <c r="H76" i="1"/>
  <c r="F40" i="1"/>
  <c r="H3" i="1"/>
  <c r="E76" i="1"/>
  <c r="F76" i="1" s="1"/>
  <c r="H40" i="1"/>
</calcChain>
</file>

<file path=xl/sharedStrings.xml><?xml version="1.0" encoding="utf-8"?>
<sst xmlns="http://schemas.openxmlformats.org/spreadsheetml/2006/main" count="613" uniqueCount="78">
  <si>
    <t>Partida</t>
  </si>
  <si>
    <t>Programas y Proyectos de Inversión</t>
  </si>
  <si>
    <t>Presupuesto Ley Modificado               1</t>
  </si>
  <si>
    <t>Asignado a la Fecha                 2</t>
  </si>
  <si>
    <t>Ejecutado a la Fecha                 3</t>
  </si>
  <si>
    <t>% de Ejecución          4 = (3/2 * 100)</t>
  </si>
  <si>
    <t>Pagado                        5</t>
  </si>
  <si>
    <t>Saldo a  la Fecha                6 = 2-3</t>
  </si>
  <si>
    <t>1.32.1</t>
  </si>
  <si>
    <t>TOTAL</t>
  </si>
  <si>
    <t>Investigación Científica</t>
  </si>
  <si>
    <t>1.32.1.1.703.01.06</t>
  </si>
  <si>
    <t>INDICASAT</t>
  </si>
  <si>
    <t>1.32.1.1.703.01.09</t>
  </si>
  <si>
    <t>Apoyo y Promo. de Actividades de Inv.</t>
  </si>
  <si>
    <t>1.32.1.1.703.01.10</t>
  </si>
  <si>
    <t>Const. Estación Científica en el Parque</t>
  </si>
  <si>
    <t>1.32.1.1.703.01.11</t>
  </si>
  <si>
    <t>Ampliación investigación científica</t>
  </si>
  <si>
    <t>1.32.1.1.703.01.12</t>
  </si>
  <si>
    <t>Insercion de Talento Especializado</t>
  </si>
  <si>
    <t>1.32.1.1.703.01.13</t>
  </si>
  <si>
    <t>Plataforma de Acceso a Bibliografico Cient.</t>
  </si>
  <si>
    <t>1.32.1.1.703.01.14</t>
  </si>
  <si>
    <t>Sistema Nacional de Investigación</t>
  </si>
  <si>
    <t>Obras, Remodelaciones y Equipa.</t>
  </si>
  <si>
    <t>1.32.1.1.703.02.12</t>
  </si>
  <si>
    <t>Obras, remodelaciones y Equipo</t>
  </si>
  <si>
    <t>1.32.1.1.703.02.14</t>
  </si>
  <si>
    <t>Ampliación y adecuación de Infraest.</t>
  </si>
  <si>
    <t>Metrología y Normas</t>
  </si>
  <si>
    <t>1.32.1.1.703.03.01</t>
  </si>
  <si>
    <t>Innovación y Competitividad</t>
  </si>
  <si>
    <t>1.32.1.1.703.04.10</t>
  </si>
  <si>
    <t>Innovación Empresarial</t>
  </si>
  <si>
    <t>1.32.1.1.703.04.11</t>
  </si>
  <si>
    <t>Fortalecimiento del Sistema Nacional de Ciencia</t>
  </si>
  <si>
    <t>1.32.1.1.703.04.13</t>
  </si>
  <si>
    <t>Desarrollo del Plan Estratégico de C y T</t>
  </si>
  <si>
    <t>Estímulos e Investigaciones</t>
  </si>
  <si>
    <t>1.32.1.1.703.06.01</t>
  </si>
  <si>
    <t>En el aprendizaje de las ciencias</t>
  </si>
  <si>
    <t>1.32.1.1.703.06.02</t>
  </si>
  <si>
    <t>Fortalecimiento Becas Sector Salud</t>
  </si>
  <si>
    <t>1.32.1.1.703.06.03</t>
  </si>
  <si>
    <t>Desarrollo Centro Intl. De Estudios Políticos y Soc</t>
  </si>
  <si>
    <t>Desarrollo Tecnológico</t>
  </si>
  <si>
    <t>1.32.1.1.703.09.02</t>
  </si>
  <si>
    <t>Programa de Infoplazas</t>
  </si>
  <si>
    <t>1.32.1.1.703.09.26</t>
  </si>
  <si>
    <t>Nac. Indicadores de Ciencia y Tec</t>
  </si>
  <si>
    <t>1.32.1.1.703.09.27</t>
  </si>
  <si>
    <t>Clusters de competitividad</t>
  </si>
  <si>
    <t>1.32.1.1.703.09.28</t>
  </si>
  <si>
    <t>Mejoramiento Automatización Senacyt</t>
  </si>
  <si>
    <t>Capacitación</t>
  </si>
  <si>
    <t>1.32.1.1.703.13.03</t>
  </si>
  <si>
    <t xml:space="preserve">Fortalecimiento de los Recursos Humanos </t>
  </si>
  <si>
    <t>Inclusión Social y Productividad</t>
  </si>
  <si>
    <t>1.32.1.1.330.15.01</t>
  </si>
  <si>
    <t>3692/OC-PN Innov para la Inclusion Soc.y Product</t>
  </si>
  <si>
    <t>1.32.1.1.703.15.01</t>
  </si>
  <si>
    <t>Ejecución del Presupuesto de Inversiones según 
programa al 31 de enero  2018  (en Balboas).</t>
  </si>
  <si>
    <t xml:space="preserve">  Ejecución del Presupuesto de Inversiones según programa al 30 de abril del 2018  (en Balboas).</t>
  </si>
  <si>
    <t xml:space="preserve">  Ejecución del Presupuesto de Inversiones según programa al 29 de marzo del 2018  (en Balboas).
</t>
  </si>
  <si>
    <t xml:space="preserve">  Ejecución del Presupuesto de Inversiones según programa al 28 de febrero del 2018  (en Balboas).
</t>
  </si>
  <si>
    <t xml:space="preserve">  Ejecución del Presupuesto de Inversiones según programa al 31 de mayo del 2018  (en Balboas).</t>
  </si>
  <si>
    <t>Devengado                5</t>
  </si>
  <si>
    <t>Pagado                        6</t>
  </si>
  <si>
    <t>Saldo a  la Fecha                7 = 2-3</t>
  </si>
  <si>
    <t>Ejecución del Presupuesto de inversiones según programa al 30 de junio del 2018 (en balboas)</t>
  </si>
  <si>
    <t>Ejecución del Presupuesto de inversiones según programa al 31 de julio del 2018 (en balboas)</t>
  </si>
  <si>
    <t>Ejecución del Presupuesto de inversiones según programa al 31 de agosto del 2018 (en balboas)</t>
  </si>
  <si>
    <t>Ejecución del Presupuesto de inversiones según programa al 30 de septiembre del 2018 (en balboas)</t>
  </si>
  <si>
    <t>Ejecución del Presupuesto de inversiones según programa al 31 de octubre del 2018 (en balboas)</t>
  </si>
  <si>
    <t>% de Ejecución          4 =(3/2*100)</t>
  </si>
  <si>
    <t>Ejecución del Presupuesto de inversiones según programa al 30 de noviembre del 2018 (en balboas)</t>
  </si>
  <si>
    <t>Ejecución del Presupuesto de inversiones según programa al 21 de diciembre del 2018 (en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</si>
</sst>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4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/>
    <xf numFmtId="164" fontId="1" fillId="0" borderId="11" xfId="0" applyNumberFormat="1" applyFont="1" applyBorder="1"/>
    <xf numFmtId="3" fontId="1" fillId="0" borderId="12" xfId="0" applyNumberFormat="1" applyFont="1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/>
    <xf numFmtId="0" fontId="1" fillId="0" borderId="14" xfId="0" applyFont="1" applyBorder="1" applyAlignment="1">
      <alignment wrapText="1"/>
    </xf>
    <xf numFmtId="3" fontId="1" fillId="2" borderId="15" xfId="0" applyNumberFormat="1" applyFont="1" applyFill="1" applyBorder="1" applyAlignment="1">
      <alignment wrapText="1"/>
    </xf>
    <xf numFmtId="3" fontId="1" fillId="2" borderId="15" xfId="0" applyNumberFormat="1" applyFont="1" applyFill="1" applyBorder="1"/>
    <xf numFmtId="164" fontId="1" fillId="2" borderId="15" xfId="0" applyNumberFormat="1" applyFont="1" applyFill="1" applyBorder="1"/>
    <xf numFmtId="3" fontId="1" fillId="2" borderId="16" xfId="0" applyNumberFormat="1" applyFont="1" applyFill="1" applyBorder="1"/>
    <xf numFmtId="0" fontId="2" fillId="0" borderId="10" xfId="0" applyFont="1" applyBorder="1" applyAlignment="1">
      <alignment wrapText="1"/>
    </xf>
    <xf numFmtId="3" fontId="2" fillId="2" borderId="11" xfId="0" applyNumberFormat="1" applyFont="1" applyFill="1" applyBorder="1" applyAlignment="1">
      <alignment wrapText="1"/>
    </xf>
    <xf numFmtId="3" fontId="2" fillId="2" borderId="11" xfId="0" applyNumberFormat="1" applyFont="1" applyFill="1" applyBorder="1"/>
    <xf numFmtId="164" fontId="2" fillId="2" borderId="11" xfId="0" applyNumberFormat="1" applyFont="1" applyFill="1" applyBorder="1"/>
    <xf numFmtId="3" fontId="2" fillId="2" borderId="12" xfId="0" applyNumberFormat="1" applyFont="1" applyFill="1" applyBorder="1"/>
    <xf numFmtId="3" fontId="2" fillId="0" borderId="11" xfId="0" applyNumberFormat="1" applyFont="1" applyBorder="1" applyAlignment="1">
      <alignment wrapText="1"/>
    </xf>
    <xf numFmtId="3" fontId="2" fillId="0" borderId="11" xfId="0" applyNumberFormat="1" applyFont="1" applyBorder="1"/>
    <xf numFmtId="164" fontId="2" fillId="0" borderId="11" xfId="0" applyNumberFormat="1" applyFont="1" applyBorder="1"/>
    <xf numFmtId="3" fontId="2" fillId="0" borderId="12" xfId="0" applyNumberFormat="1" applyFont="1" applyBorder="1"/>
    <xf numFmtId="0" fontId="3" fillId="0" borderId="10" xfId="0" applyFont="1" applyBorder="1" applyAlignment="1">
      <alignment wrapText="1"/>
    </xf>
    <xf numFmtId="3" fontId="2" fillId="0" borderId="18" xfId="0" applyNumberFormat="1" applyFont="1" applyBorder="1"/>
    <xf numFmtId="164" fontId="2" fillId="0" borderId="18" xfId="0" applyNumberFormat="1" applyFont="1" applyBorder="1"/>
    <xf numFmtId="3" fontId="0" fillId="2" borderId="11" xfId="0" applyNumberFormat="1" applyFill="1" applyBorder="1" applyAlignment="1">
      <alignment wrapText="1"/>
    </xf>
    <xf numFmtId="3" fontId="0" fillId="2" borderId="11" xfId="0" applyNumberFormat="1" applyFill="1" applyBorder="1"/>
    <xf numFmtId="3" fontId="2" fillId="2" borderId="5" xfId="0" applyNumberFormat="1" applyFont="1" applyFill="1" applyBorder="1"/>
    <xf numFmtId="0" fontId="0" fillId="0" borderId="17" xfId="0" applyBorder="1" applyAlignment="1">
      <alignment wrapText="1"/>
    </xf>
    <xf numFmtId="0" fontId="1" fillId="0" borderId="10" xfId="0" applyFon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1" xfId="0" applyNumberFormat="1" applyBorder="1"/>
    <xf numFmtId="3" fontId="2" fillId="0" borderId="18" xfId="0" applyNumberFormat="1" applyFont="1" applyBorder="1" applyAlignment="1">
      <alignment horizontal="right"/>
    </xf>
    <xf numFmtId="3" fontId="1" fillId="0" borderId="15" xfId="0" applyNumberFormat="1" applyFont="1" applyBorder="1"/>
    <xf numFmtId="164" fontId="1" fillId="0" borderId="15" xfId="0" applyNumberFormat="1" applyFont="1" applyBorder="1"/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18" xfId="0" applyNumberFormat="1" applyBorder="1"/>
    <xf numFmtId="164" fontId="0" fillId="0" borderId="18" xfId="0" applyNumberFormat="1" applyBorder="1"/>
    <xf numFmtId="3" fontId="0" fillId="0" borderId="19" xfId="0" applyNumberFormat="1" applyBorder="1"/>
    <xf numFmtId="0" fontId="0" fillId="0" borderId="4" xfId="0" applyBorder="1" applyAlignment="1">
      <alignment wrapText="1"/>
    </xf>
    <xf numFmtId="0" fontId="1" fillId="0" borderId="22" xfId="0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3" fontId="1" fillId="0" borderId="14" xfId="0" applyNumberFormat="1" applyFont="1" applyBorder="1"/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wrapText="1"/>
    </xf>
    <xf numFmtId="3" fontId="2" fillId="0" borderId="10" xfId="0" applyNumberFormat="1" applyFont="1" applyBorder="1"/>
    <xf numFmtId="0" fontId="2" fillId="0" borderId="1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1" xfId="0" applyFont="1" applyBorder="1" applyAlignment="1">
      <alignment wrapText="1"/>
    </xf>
    <xf numFmtId="3" fontId="2" fillId="0" borderId="17" xfId="0" applyNumberFormat="1" applyFont="1" applyBorder="1"/>
    <xf numFmtId="3" fontId="1" fillId="0" borderId="0" xfId="0" applyNumberFormat="1" applyFont="1" applyBorder="1" applyAlignment="1">
      <alignment wrapText="1"/>
    </xf>
    <xf numFmtId="3" fontId="1" fillId="0" borderId="10" xfId="0" applyNumberFormat="1" applyFont="1" applyBorder="1"/>
    <xf numFmtId="3" fontId="0" fillId="0" borderId="0" xfId="0" applyNumberFormat="1" applyBorder="1" applyAlignment="1">
      <alignment wrapText="1"/>
    </xf>
    <xf numFmtId="3" fontId="0" fillId="0" borderId="10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2" fillId="0" borderId="20" xfId="0" applyNumberFormat="1" applyFont="1" applyBorder="1"/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1" xfId="0" applyNumberFormat="1" applyFill="1" applyBorder="1"/>
    <xf numFmtId="164" fontId="2" fillId="0" borderId="11" xfId="0" applyNumberFormat="1" applyFont="1" applyFill="1" applyBorder="1"/>
    <xf numFmtId="0" fontId="2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3" fontId="0" fillId="0" borderId="25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3" fontId="0" fillId="0" borderId="25" xfId="0" applyNumberFormat="1" applyFill="1" applyBorder="1"/>
    <xf numFmtId="164" fontId="2" fillId="0" borderId="25" xfId="0" applyNumberFormat="1" applyFont="1" applyFill="1" applyBorder="1"/>
    <xf numFmtId="3" fontId="2" fillId="0" borderId="26" xfId="0" applyNumberFormat="1" applyFont="1" applyBorder="1"/>
    <xf numFmtId="0" fontId="0" fillId="0" borderId="0" xfId="0" applyFill="1" applyBorder="1"/>
    <xf numFmtId="164" fontId="2" fillId="0" borderId="0" xfId="0" applyNumberFormat="1" applyFont="1" applyBorder="1"/>
    <xf numFmtId="164" fontId="0" fillId="0" borderId="0" xfId="0" applyNumberFormat="1" applyBorder="1"/>
    <xf numFmtId="3" fontId="0" fillId="0" borderId="0" xfId="0" applyNumberFormat="1"/>
    <xf numFmtId="0" fontId="0" fillId="0" borderId="0" xfId="0" applyAlignment="1">
      <alignment wrapText="1"/>
    </xf>
    <xf numFmtId="0" fontId="0" fillId="0" borderId="9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3" fontId="1" fillId="2" borderId="15" xfId="0" applyNumberFormat="1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left"/>
    </xf>
    <xf numFmtId="3" fontId="1" fillId="2" borderId="16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3" fontId="2" fillId="2" borderId="11" xfId="0" applyNumberFormat="1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164" fontId="2" fillId="0" borderId="18" xfId="0" applyNumberFormat="1" applyFont="1" applyBorder="1" applyAlignment="1">
      <alignment horizontal="left"/>
    </xf>
    <xf numFmtId="3" fontId="0" fillId="2" borderId="11" xfId="0" applyNumberForma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3" fontId="2" fillId="0" borderId="13" xfId="0" applyNumberFormat="1" applyFont="1" applyBorder="1" applyAlignment="1">
      <alignment horizontal="left"/>
    </xf>
    <xf numFmtId="3" fontId="0" fillId="0" borderId="21" xfId="0" applyNumberFormat="1" applyBorder="1" applyAlignment="1">
      <alignment horizontal="left"/>
    </xf>
    <xf numFmtId="0" fontId="0" fillId="0" borderId="4" xfId="0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3" fontId="1" fillId="0" borderId="22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0" fontId="0" fillId="0" borderId="13" xfId="0" applyBorder="1" applyAlignment="1">
      <alignment horizontal="left" wrapText="1"/>
    </xf>
    <xf numFmtId="3" fontId="0" fillId="0" borderId="13" xfId="0" applyNumberForma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11" xfId="0" applyNumberFormat="1" applyBorder="1" applyAlignment="1">
      <alignment horizontal="left" vertical="center"/>
    </xf>
    <xf numFmtId="3" fontId="0" fillId="0" borderId="11" xfId="0" applyNumberForma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3" fontId="0" fillId="0" borderId="25" xfId="0" applyNumberFormat="1" applyBorder="1" applyAlignment="1">
      <alignment horizontal="left" vertical="center"/>
    </xf>
    <xf numFmtId="3" fontId="0" fillId="0" borderId="25" xfId="0" applyNumberFormat="1" applyFill="1" applyBorder="1" applyAlignment="1">
      <alignment horizontal="left"/>
    </xf>
    <xf numFmtId="164" fontId="2" fillId="0" borderId="25" xfId="0" applyNumberFormat="1" applyFont="1" applyFill="1" applyBorder="1" applyAlignment="1">
      <alignment horizontal="left"/>
    </xf>
    <xf numFmtId="3" fontId="2" fillId="0" borderId="26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3" fontId="2" fillId="0" borderId="13" xfId="0" applyNumberFormat="1" applyFont="1" applyBorder="1"/>
    <xf numFmtId="3" fontId="0" fillId="0" borderId="21" xfId="0" applyNumberFormat="1" applyBorder="1"/>
    <xf numFmtId="3" fontId="1" fillId="0" borderId="22" xfId="0" applyNumberFormat="1" applyFont="1" applyBorder="1"/>
    <xf numFmtId="3" fontId="1" fillId="0" borderId="0" xfId="0" applyNumberFormat="1" applyFont="1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1" fillId="0" borderId="14" xfId="0" applyFont="1" applyBorder="1"/>
    <xf numFmtId="0" fontId="2" fillId="0" borderId="10" xfId="0" applyFont="1" applyBorder="1"/>
    <xf numFmtId="0" fontId="3" fillId="0" borderId="10" xfId="0" applyFont="1" applyBorder="1"/>
    <xf numFmtId="0" fontId="1" fillId="0" borderId="10" xfId="0" applyFont="1" applyBorder="1"/>
    <xf numFmtId="0" fontId="3" fillId="0" borderId="10" xfId="0" applyFont="1" applyFill="1" applyBorder="1"/>
    <xf numFmtId="0" fontId="0" fillId="0" borderId="10" xfId="0" applyFill="1" applyBorder="1"/>
    <xf numFmtId="0" fontId="1" fillId="0" borderId="22" xfId="0" applyFont="1" applyBorder="1"/>
    <xf numFmtId="0" fontId="2" fillId="0" borderId="13" xfId="0" applyFont="1" applyBorder="1"/>
    <xf numFmtId="0" fontId="2" fillId="0" borderId="4" xfId="0" applyFont="1" applyBorder="1"/>
    <xf numFmtId="0" fontId="3" fillId="0" borderId="21" xfId="0" applyFont="1" applyBorder="1"/>
    <xf numFmtId="0" fontId="2" fillId="0" borderId="23" xfId="0" applyFont="1" applyBorder="1"/>
    <xf numFmtId="0" fontId="3" fillId="0" borderId="24" xfId="0" applyFont="1" applyBorder="1"/>
    <xf numFmtId="0" fontId="0" fillId="0" borderId="4" xfId="0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0" fillId="0" borderId="27" xfId="0" applyBorder="1"/>
    <xf numFmtId="0" fontId="1" fillId="0" borderId="28" xfId="0" applyFont="1" applyBorder="1"/>
    <xf numFmtId="0" fontId="2" fillId="0" borderId="27" xfId="0" applyFont="1" applyBorder="1"/>
    <xf numFmtId="0" fontId="3" fillId="0" borderId="27" xfId="0" applyFont="1" applyBorder="1"/>
    <xf numFmtId="0" fontId="1" fillId="0" borderId="27" xfId="0" applyFont="1" applyBorder="1"/>
    <xf numFmtId="0" fontId="3" fillId="0" borderId="27" xfId="0" applyFont="1" applyFill="1" applyBorder="1"/>
    <xf numFmtId="0" fontId="0" fillId="0" borderId="27" xfId="0" applyFill="1" applyBorder="1"/>
    <xf numFmtId="0" fontId="1" fillId="0" borderId="29" xfId="0" applyFont="1" applyBorder="1"/>
    <xf numFmtId="3" fontId="1" fillId="0" borderId="30" xfId="0" applyNumberFormat="1" applyFont="1" applyBorder="1"/>
    <xf numFmtId="3" fontId="2" fillId="0" borderId="5" xfId="0" applyNumberFormat="1" applyFont="1" applyBorder="1"/>
    <xf numFmtId="0" fontId="3" fillId="0" borderId="31" xfId="0" applyFont="1" applyBorder="1"/>
    <xf numFmtId="164" fontId="2" fillId="0" borderId="10" xfId="0" applyNumberFormat="1" applyFont="1" applyBorder="1"/>
    <xf numFmtId="164" fontId="2" fillId="0" borderId="13" xfId="0" applyNumberFormat="1" applyFont="1" applyBorder="1"/>
    <xf numFmtId="0" fontId="2" fillId="0" borderId="32" xfId="0" applyFont="1" applyBorder="1"/>
    <xf numFmtId="0" fontId="3" fillId="0" borderId="33" xfId="0" applyFont="1" applyBorder="1"/>
    <xf numFmtId="0" fontId="0" fillId="0" borderId="34" xfId="0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/>
    <xf numFmtId="3" fontId="2" fillId="2" borderId="10" xfId="0" applyNumberFormat="1" applyFont="1" applyFill="1" applyBorder="1"/>
    <xf numFmtId="3" fontId="2" fillId="0" borderId="11" xfId="0" applyNumberFormat="1" applyFont="1" applyFill="1" applyBorder="1"/>
    <xf numFmtId="3" fontId="2" fillId="0" borderId="25" xfId="0" applyNumberFormat="1" applyFont="1" applyFill="1" applyBorder="1"/>
    <xf numFmtId="3" fontId="0" fillId="0" borderId="25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1" fillId="0" borderId="11" xfId="0" applyNumberFormat="1" applyFont="1" applyFill="1" applyBorder="1"/>
    <xf numFmtId="3" fontId="0" fillId="0" borderId="18" xfId="0" applyNumberFormat="1" applyFill="1" applyBorder="1"/>
    <xf numFmtId="3" fontId="1" fillId="0" borderId="15" xfId="0" applyNumberFormat="1" applyFont="1" applyFill="1" applyBorder="1"/>
    <xf numFmtId="0" fontId="0" fillId="0" borderId="33" xfId="0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3" fontId="1" fillId="0" borderId="10" xfId="0" applyNumberFormat="1" applyFont="1" applyFill="1" applyBorder="1"/>
    <xf numFmtId="3" fontId="0" fillId="0" borderId="10" xfId="0" applyNumberFormat="1" applyFill="1" applyBorder="1"/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1" fillId="2" borderId="10" xfId="0" applyNumberFormat="1" applyFont="1" applyFill="1" applyBorder="1"/>
    <xf numFmtId="3" fontId="2" fillId="2" borderId="18" xfId="0" applyNumberFormat="1" applyFont="1" applyFill="1" applyBorder="1"/>
    <xf numFmtId="3" fontId="1" fillId="2" borderId="11" xfId="0" applyNumberFormat="1" applyFont="1" applyFill="1" applyBorder="1"/>
    <xf numFmtId="3" fontId="0" fillId="2" borderId="13" xfId="0" applyNumberFormat="1" applyFill="1" applyBorder="1"/>
    <xf numFmtId="3" fontId="2" fillId="0" borderId="25" xfId="0" applyNumberFormat="1" applyFont="1" applyBorder="1" applyAlignment="1">
      <alignment vertical="center"/>
    </xf>
    <xf numFmtId="3" fontId="0" fillId="2" borderId="2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177765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66B1174-673B-4978-B4C3-29DC7BCDC7F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1"/>
  <sheetViews>
    <sheetView tabSelected="1" topLeftCell="A388" workbookViewId="0">
      <selection activeCell="I398" sqref="I398"/>
    </sheetView>
  </sheetViews>
  <sheetFormatPr baseColWidth="10" defaultColWidth="10.90625" defaultRowHeight="14.5" x14ac:dyDescent="0.35"/>
  <cols>
    <col min="3" max="3" width="15.453125" customWidth="1"/>
  </cols>
  <sheetData>
    <row r="1" spans="1:8" ht="28.75" customHeight="1" thickBot="1" x14ac:dyDescent="0.4">
      <c r="A1" s="197" t="s">
        <v>62</v>
      </c>
      <c r="B1" s="198"/>
      <c r="C1" s="198"/>
      <c r="D1" s="198"/>
      <c r="E1" s="198"/>
      <c r="F1" s="198"/>
      <c r="G1" s="198"/>
      <c r="H1" s="199"/>
    </row>
    <row r="2" spans="1:8" ht="58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5" t="s">
        <v>7</v>
      </c>
    </row>
    <row r="3" spans="1:8" x14ac:dyDescent="0.35">
      <c r="A3" s="6" t="s">
        <v>8</v>
      </c>
      <c r="B3" s="7" t="s">
        <v>9</v>
      </c>
      <c r="C3" s="8">
        <f>C4+C12+C15+C17+C22+C26+C31+C33</f>
        <v>43689200</v>
      </c>
      <c r="D3" s="9">
        <f>D4+D12+D15+D17+D22+D26+D31+D33</f>
        <v>2912350</v>
      </c>
      <c r="E3" s="9">
        <f>E4+E12+E15+E17+E22+E26+E31+E33</f>
        <v>20586.25</v>
      </c>
      <c r="F3" s="10">
        <f>E3/D3*100</f>
        <v>0.70686043916424879</v>
      </c>
      <c r="G3" s="9">
        <f>G4+G12+G15+G17+G22+G26+G31+G33</f>
        <v>0</v>
      </c>
      <c r="H3" s="11">
        <f>H4+H12+H15+H17+H22+H26+H31+H33</f>
        <v>2891763.75</v>
      </c>
    </row>
    <row r="4" spans="1:8" ht="39.5" x14ac:dyDescent="0.35">
      <c r="A4" s="12"/>
      <c r="B4" s="15" t="s">
        <v>10</v>
      </c>
      <c r="C4" s="16">
        <f>SUM(C5:C11)</f>
        <v>11483500</v>
      </c>
      <c r="D4" s="17">
        <f>SUM(D5:D11)</f>
        <v>965000</v>
      </c>
      <c r="E4" s="17">
        <f>SUM(E5:E11)</f>
        <v>10800</v>
      </c>
      <c r="F4" s="18">
        <f t="shared" ref="F4:F11" si="0">E4/D4*100</f>
        <v>1.1191709844559585</v>
      </c>
      <c r="G4" s="17">
        <f>SUM(G5:G11)</f>
        <v>0</v>
      </c>
      <c r="H4" s="19">
        <f>SUM(H5:H11)</f>
        <v>954200</v>
      </c>
    </row>
    <row r="5" spans="1:8" ht="29" x14ac:dyDescent="0.35">
      <c r="A5" s="12" t="s">
        <v>11</v>
      </c>
      <c r="B5" s="20" t="s">
        <v>12</v>
      </c>
      <c r="C5" s="21">
        <v>5000000</v>
      </c>
      <c r="D5" s="22">
        <v>0</v>
      </c>
      <c r="E5" s="22">
        <v>0</v>
      </c>
      <c r="F5" s="23">
        <v>0</v>
      </c>
      <c r="G5" s="22">
        <v>0</v>
      </c>
      <c r="H5" s="24">
        <f t="shared" ref="H5:H11" si="1">D5-E5</f>
        <v>0</v>
      </c>
    </row>
    <row r="6" spans="1:8" ht="51" x14ac:dyDescent="0.35">
      <c r="A6" s="12" t="s">
        <v>13</v>
      </c>
      <c r="B6" s="20" t="s">
        <v>14</v>
      </c>
      <c r="C6" s="25">
        <v>2783000</v>
      </c>
      <c r="D6" s="26">
        <v>200000</v>
      </c>
      <c r="E6" s="26">
        <v>0</v>
      </c>
      <c r="F6" s="27">
        <v>0</v>
      </c>
      <c r="G6" s="26">
        <v>0</v>
      </c>
      <c r="H6" s="28">
        <f t="shared" si="1"/>
        <v>200000</v>
      </c>
    </row>
    <row r="7" spans="1:8" ht="51" x14ac:dyDescent="0.35">
      <c r="A7" s="12" t="s">
        <v>15</v>
      </c>
      <c r="B7" s="20" t="s">
        <v>16</v>
      </c>
      <c r="C7" s="25">
        <v>500000</v>
      </c>
      <c r="D7" s="26">
        <v>0</v>
      </c>
      <c r="E7" s="26">
        <v>0</v>
      </c>
      <c r="F7" s="27">
        <v>0</v>
      </c>
      <c r="G7" s="26">
        <v>0</v>
      </c>
      <c r="H7" s="28">
        <f t="shared" si="1"/>
        <v>0</v>
      </c>
    </row>
    <row r="8" spans="1:8" ht="38.5" x14ac:dyDescent="0.35">
      <c r="A8" s="12" t="s">
        <v>17</v>
      </c>
      <c r="B8" s="20" t="s">
        <v>18</v>
      </c>
      <c r="C8" s="25">
        <v>500000</v>
      </c>
      <c r="D8" s="26">
        <v>0</v>
      </c>
      <c r="E8" s="26">
        <v>0</v>
      </c>
      <c r="F8" s="27">
        <v>0</v>
      </c>
      <c r="G8" s="26">
        <v>0</v>
      </c>
      <c r="H8" s="28">
        <f t="shared" si="1"/>
        <v>0</v>
      </c>
    </row>
    <row r="9" spans="1:8" ht="51" x14ac:dyDescent="0.35">
      <c r="A9" s="12" t="s">
        <v>19</v>
      </c>
      <c r="B9" s="20" t="s">
        <v>20</v>
      </c>
      <c r="C9" s="25">
        <v>675000</v>
      </c>
      <c r="D9" s="26">
        <v>0</v>
      </c>
      <c r="E9" s="26">
        <v>0</v>
      </c>
      <c r="F9" s="27">
        <v>0</v>
      </c>
      <c r="G9" s="26">
        <v>0</v>
      </c>
      <c r="H9" s="28">
        <f t="shared" si="1"/>
        <v>0</v>
      </c>
    </row>
    <row r="10" spans="1:8" ht="41.5" x14ac:dyDescent="0.35">
      <c r="A10" s="12" t="s">
        <v>21</v>
      </c>
      <c r="B10" s="29" t="s">
        <v>22</v>
      </c>
      <c r="C10" s="25">
        <v>186400</v>
      </c>
      <c r="D10" s="26">
        <v>0</v>
      </c>
      <c r="E10" s="26">
        <v>0</v>
      </c>
      <c r="F10" s="27">
        <v>0</v>
      </c>
      <c r="G10" s="26">
        <v>0</v>
      </c>
      <c r="H10" s="28">
        <f t="shared" si="1"/>
        <v>0</v>
      </c>
    </row>
    <row r="11" spans="1:8" ht="51" x14ac:dyDescent="0.35">
      <c r="A11" s="12" t="s">
        <v>23</v>
      </c>
      <c r="B11" s="20" t="s">
        <v>24</v>
      </c>
      <c r="C11" s="25">
        <v>1839100</v>
      </c>
      <c r="D11" s="26">
        <v>765000</v>
      </c>
      <c r="E11" s="26">
        <v>10800</v>
      </c>
      <c r="F11" s="27">
        <f t="shared" si="0"/>
        <v>1.411764705882353</v>
      </c>
      <c r="G11" s="26">
        <v>0</v>
      </c>
      <c r="H11" s="28">
        <f t="shared" si="1"/>
        <v>754200</v>
      </c>
    </row>
    <row r="12" spans="1:8" ht="52.5" x14ac:dyDescent="0.35">
      <c r="A12" s="12"/>
      <c r="B12" s="15" t="s">
        <v>25</v>
      </c>
      <c r="C12" s="16">
        <f>SUM(C13:C14)</f>
        <v>735300</v>
      </c>
      <c r="D12" s="17">
        <f t="shared" ref="D12:E12" si="2">SUM(D13:D14)</f>
        <v>60000</v>
      </c>
      <c r="E12" s="17">
        <f t="shared" si="2"/>
        <v>0</v>
      </c>
      <c r="F12" s="18">
        <f>E12/D12*100</f>
        <v>0</v>
      </c>
      <c r="G12" s="17">
        <f>SUM(G13:G14)</f>
        <v>0</v>
      </c>
      <c r="H12" s="19">
        <f>SUM(H13:H14)</f>
        <v>60000</v>
      </c>
    </row>
    <row r="13" spans="1:8" ht="58" x14ac:dyDescent="0.35">
      <c r="A13" s="12" t="s">
        <v>26</v>
      </c>
      <c r="B13" s="13" t="s">
        <v>27</v>
      </c>
      <c r="C13" s="32">
        <v>360300</v>
      </c>
      <c r="D13" s="33">
        <v>0</v>
      </c>
      <c r="E13" s="22">
        <v>0</v>
      </c>
      <c r="F13" s="23">
        <v>0</v>
      </c>
      <c r="G13" s="22">
        <v>0</v>
      </c>
      <c r="H13" s="34">
        <f>D13-E13</f>
        <v>0</v>
      </c>
    </row>
    <row r="14" spans="1:8" ht="58" x14ac:dyDescent="0.35">
      <c r="A14" s="12" t="s">
        <v>28</v>
      </c>
      <c r="B14" s="13" t="s">
        <v>29</v>
      </c>
      <c r="C14" s="32">
        <v>375000</v>
      </c>
      <c r="D14" s="33">
        <v>60000</v>
      </c>
      <c r="E14" s="22">
        <v>0</v>
      </c>
      <c r="F14" s="23">
        <f>E14/D14*100</f>
        <v>0</v>
      </c>
      <c r="G14" s="22">
        <v>0</v>
      </c>
      <c r="H14" s="34">
        <f>D14-E14</f>
        <v>60000</v>
      </c>
    </row>
    <row r="15" spans="1:8" ht="26.5" x14ac:dyDescent="0.35">
      <c r="A15" s="12"/>
      <c r="B15" s="36" t="s">
        <v>30</v>
      </c>
      <c r="C15" s="8">
        <f>SUM(C16)</f>
        <v>2500000</v>
      </c>
      <c r="D15" s="9">
        <f>SUM(D16)</f>
        <v>0</v>
      </c>
      <c r="E15" s="9">
        <f>SUM(E16)</f>
        <v>0</v>
      </c>
      <c r="F15" s="10">
        <v>0</v>
      </c>
      <c r="G15" s="9">
        <v>0</v>
      </c>
      <c r="H15" s="11">
        <f>SUM(H16)</f>
        <v>0</v>
      </c>
    </row>
    <row r="16" spans="1:8" ht="29" x14ac:dyDescent="0.35">
      <c r="A16" s="12" t="s">
        <v>31</v>
      </c>
      <c r="B16" s="13" t="s">
        <v>30</v>
      </c>
      <c r="C16" s="37">
        <v>2500000</v>
      </c>
      <c r="D16" s="38">
        <v>0</v>
      </c>
      <c r="E16" s="38">
        <v>0</v>
      </c>
      <c r="F16" s="23">
        <v>0</v>
      </c>
      <c r="G16" s="38">
        <v>0</v>
      </c>
      <c r="H16" s="34">
        <f>D16-E16</f>
        <v>0</v>
      </c>
    </row>
    <row r="17" spans="1:8" ht="52.5" x14ac:dyDescent="0.35">
      <c r="A17" s="12"/>
      <c r="B17" s="36" t="s">
        <v>32</v>
      </c>
      <c r="C17" s="8">
        <f>SUM(C18:C20)</f>
        <v>8186500</v>
      </c>
      <c r="D17" s="40">
        <f>SUM(D18:D20)</f>
        <v>1155064</v>
      </c>
      <c r="E17" s="40">
        <f>SUM(E18:E20)</f>
        <v>1175.05</v>
      </c>
      <c r="F17" s="41">
        <f>E17/D17*100</f>
        <v>0.10173029373264164</v>
      </c>
      <c r="G17" s="40">
        <f>SUM(G18:G20)</f>
        <v>0</v>
      </c>
      <c r="H17" s="11">
        <f>SUM(H18:H20)</f>
        <v>1153888.95</v>
      </c>
    </row>
    <row r="18" spans="1:8" ht="29" x14ac:dyDescent="0.35">
      <c r="A18" s="12" t="s">
        <v>33</v>
      </c>
      <c r="B18" s="13" t="s">
        <v>34</v>
      </c>
      <c r="C18" s="25">
        <v>2486500</v>
      </c>
      <c r="D18" s="26">
        <v>850456</v>
      </c>
      <c r="E18" s="26">
        <v>1175.05</v>
      </c>
      <c r="F18" s="27">
        <f>E18/D18*100</f>
        <v>0.13816705390990244</v>
      </c>
      <c r="G18" s="26">
        <v>0</v>
      </c>
      <c r="H18" s="28">
        <f>D18-E18</f>
        <v>849280.95</v>
      </c>
    </row>
    <row r="19" spans="1:8" ht="41.5" x14ac:dyDescent="0.35">
      <c r="A19" s="12" t="s">
        <v>35</v>
      </c>
      <c r="B19" s="42" t="s">
        <v>36</v>
      </c>
      <c r="C19" s="25">
        <v>5500000</v>
      </c>
      <c r="D19" s="26">
        <v>304608</v>
      </c>
      <c r="E19" s="26">
        <v>0</v>
      </c>
      <c r="F19" s="27">
        <f>E19/D19*100</f>
        <v>0</v>
      </c>
      <c r="G19" s="26">
        <v>0</v>
      </c>
      <c r="H19" s="28">
        <f>D19-E19</f>
        <v>304608</v>
      </c>
    </row>
    <row r="20" spans="1:8" ht="58" x14ac:dyDescent="0.35">
      <c r="A20" s="12" t="s">
        <v>37</v>
      </c>
      <c r="B20" s="43" t="s">
        <v>38</v>
      </c>
      <c r="C20" s="44">
        <v>200000</v>
      </c>
      <c r="D20" s="26">
        <v>0</v>
      </c>
      <c r="E20" s="26">
        <v>0</v>
      </c>
      <c r="F20" s="27">
        <v>0</v>
      </c>
      <c r="G20" s="26">
        <v>0</v>
      </c>
      <c r="H20" s="28">
        <f>D20-E20</f>
        <v>0</v>
      </c>
    </row>
    <row r="21" spans="1:8" x14ac:dyDescent="0.35">
      <c r="A21" s="12"/>
      <c r="B21" s="35"/>
      <c r="C21" s="45"/>
      <c r="D21" s="46"/>
      <c r="E21" s="46"/>
      <c r="F21" s="39"/>
      <c r="G21" s="47"/>
      <c r="H21" s="48"/>
    </row>
    <row r="22" spans="1:8" ht="39.5" x14ac:dyDescent="0.35">
      <c r="A22" s="49"/>
      <c r="B22" s="50" t="s">
        <v>39</v>
      </c>
      <c r="C22" s="51">
        <f>SUM(C23:C25)</f>
        <v>2077400</v>
      </c>
      <c r="D22" s="40">
        <f>SUM(D23:D25)</f>
        <v>5926</v>
      </c>
      <c r="E22" s="40">
        <f>SUM(E23:E25)</f>
        <v>0</v>
      </c>
      <c r="F22" s="41">
        <f>E22/D22*100</f>
        <v>0</v>
      </c>
      <c r="G22" s="40">
        <f>SUM(G23:G25)</f>
        <v>0</v>
      </c>
      <c r="H22" s="52">
        <f>SUM(H23:H25)</f>
        <v>5926</v>
      </c>
    </row>
    <row r="23" spans="1:8" ht="58" x14ac:dyDescent="0.35">
      <c r="A23" s="49" t="s">
        <v>40</v>
      </c>
      <c r="B23" s="53" t="s">
        <v>41</v>
      </c>
      <c r="C23" s="54">
        <v>1847400</v>
      </c>
      <c r="D23" s="38">
        <v>5926</v>
      </c>
      <c r="E23" s="38">
        <v>0</v>
      </c>
      <c r="F23" s="27">
        <f>E23/D23*100</f>
        <v>0</v>
      </c>
      <c r="G23" s="38">
        <v>0</v>
      </c>
      <c r="H23" s="55">
        <f>D23-E23</f>
        <v>5926</v>
      </c>
    </row>
    <row r="24" spans="1:8" ht="51" x14ac:dyDescent="0.35">
      <c r="A24" s="49" t="s">
        <v>42</v>
      </c>
      <c r="B24" s="56" t="s">
        <v>43</v>
      </c>
      <c r="C24" s="54">
        <v>80000</v>
      </c>
      <c r="D24" s="38">
        <v>0</v>
      </c>
      <c r="E24" s="38">
        <v>0</v>
      </c>
      <c r="F24" s="27">
        <v>0</v>
      </c>
      <c r="G24" s="38">
        <v>0</v>
      </c>
      <c r="H24" s="55">
        <f>D24-E24</f>
        <v>0</v>
      </c>
    </row>
    <row r="25" spans="1:8" ht="41.5" x14ac:dyDescent="0.35">
      <c r="A25" s="57" t="s">
        <v>44</v>
      </c>
      <c r="B25" s="58" t="s">
        <v>45</v>
      </c>
      <c r="C25" s="45">
        <v>150000</v>
      </c>
      <c r="D25" s="46">
        <v>0</v>
      </c>
      <c r="E25" s="46">
        <v>0</v>
      </c>
      <c r="F25" s="31">
        <v>0</v>
      </c>
      <c r="G25" s="46">
        <v>0</v>
      </c>
      <c r="H25" s="59">
        <f>D25-E25</f>
        <v>0</v>
      </c>
    </row>
    <row r="26" spans="1:8" ht="39.5" x14ac:dyDescent="0.35">
      <c r="A26" s="12"/>
      <c r="B26" s="36" t="s">
        <v>46</v>
      </c>
      <c r="C26" s="60">
        <f>SUM(C27:C30)</f>
        <v>5828800</v>
      </c>
      <c r="D26" s="9">
        <f>SUM(D27:D30)</f>
        <v>356735</v>
      </c>
      <c r="E26" s="61">
        <f>SUM(E27:E30)</f>
        <v>8611.2000000000007</v>
      </c>
      <c r="F26" s="10">
        <f>E26/D26*100</f>
        <v>2.4138926654239143</v>
      </c>
      <c r="G26" s="9">
        <f>SUM(G27:G30)</f>
        <v>0</v>
      </c>
      <c r="H26" s="11">
        <f>SUM(H27:H30)</f>
        <v>348123.8</v>
      </c>
    </row>
    <row r="27" spans="1:8" ht="38.5" x14ac:dyDescent="0.35">
      <c r="A27" s="12" t="s">
        <v>47</v>
      </c>
      <c r="B27" s="20" t="s">
        <v>48</v>
      </c>
      <c r="C27" s="62">
        <v>3600000</v>
      </c>
      <c r="D27" s="38">
        <v>0</v>
      </c>
      <c r="E27" s="55">
        <v>0</v>
      </c>
      <c r="F27" s="27">
        <v>0</v>
      </c>
      <c r="G27" s="63">
        <v>0</v>
      </c>
      <c r="H27" s="28">
        <f>D27-E27</f>
        <v>0</v>
      </c>
    </row>
    <row r="28" spans="1:8" ht="58" x14ac:dyDescent="0.35">
      <c r="A28" s="12" t="s">
        <v>49</v>
      </c>
      <c r="B28" s="13" t="s">
        <v>50</v>
      </c>
      <c r="C28" s="62">
        <v>150000</v>
      </c>
      <c r="D28" s="38">
        <v>7135</v>
      </c>
      <c r="E28" s="64">
        <v>0</v>
      </c>
      <c r="F28" s="27">
        <f>E28/D28*100</f>
        <v>0</v>
      </c>
      <c r="G28" s="65">
        <v>0</v>
      </c>
      <c r="H28" s="28">
        <f>D28-E28</f>
        <v>7135</v>
      </c>
    </row>
    <row r="29" spans="1:8" ht="43.5" x14ac:dyDescent="0.35">
      <c r="A29" s="12" t="s">
        <v>51</v>
      </c>
      <c r="B29" s="13" t="s">
        <v>52</v>
      </c>
      <c r="C29" s="62">
        <v>1048800</v>
      </c>
      <c r="D29" s="38">
        <v>140100</v>
      </c>
      <c r="E29" s="64">
        <v>0</v>
      </c>
      <c r="F29" s="27">
        <f>E29/D29*100</f>
        <v>0</v>
      </c>
      <c r="G29" s="38">
        <v>0</v>
      </c>
      <c r="H29" s="28">
        <f>D29-E29</f>
        <v>140100</v>
      </c>
    </row>
    <row r="30" spans="1:8" ht="72.5" x14ac:dyDescent="0.35">
      <c r="A30" s="12" t="s">
        <v>53</v>
      </c>
      <c r="B30" s="13" t="s">
        <v>54</v>
      </c>
      <c r="C30" s="62">
        <v>1030000</v>
      </c>
      <c r="D30" s="38">
        <v>209500</v>
      </c>
      <c r="E30" s="63">
        <v>8611.2000000000007</v>
      </c>
      <c r="F30" s="27">
        <f>E30/D30*100</f>
        <v>4.1103579952267308</v>
      </c>
      <c r="G30" s="38">
        <v>0</v>
      </c>
      <c r="H30" s="28">
        <f>D30-E30</f>
        <v>200888.8</v>
      </c>
    </row>
    <row r="31" spans="1:8" ht="26.5" x14ac:dyDescent="0.35">
      <c r="A31" s="12"/>
      <c r="B31" s="36" t="s">
        <v>55</v>
      </c>
      <c r="C31" s="8">
        <f>SUM(C32)</f>
        <v>813000</v>
      </c>
      <c r="D31" s="9">
        <f>SUM(D32)</f>
        <v>0</v>
      </c>
      <c r="E31" s="61">
        <f>SUM(E32)</f>
        <v>0</v>
      </c>
      <c r="F31" s="10">
        <v>0</v>
      </c>
      <c r="G31" s="9">
        <f>SUM(G32)</f>
        <v>0</v>
      </c>
      <c r="H31" s="11">
        <f>SUM(H32)</f>
        <v>0</v>
      </c>
    </row>
    <row r="32" spans="1:8" ht="51" x14ac:dyDescent="0.35">
      <c r="A32" s="12" t="s">
        <v>56</v>
      </c>
      <c r="B32" s="20" t="s">
        <v>57</v>
      </c>
      <c r="C32" s="37">
        <v>813000</v>
      </c>
      <c r="D32" s="38">
        <v>0</v>
      </c>
      <c r="E32" s="63">
        <v>0</v>
      </c>
      <c r="F32" s="27">
        <v>0</v>
      </c>
      <c r="G32" s="38">
        <v>0</v>
      </c>
      <c r="H32" s="28">
        <f>D32-E32</f>
        <v>0</v>
      </c>
    </row>
    <row r="33" spans="1:8" ht="52.5" x14ac:dyDescent="0.35">
      <c r="A33" s="12"/>
      <c r="B33" s="36" t="s">
        <v>58</v>
      </c>
      <c r="C33" s="8">
        <f>SUM(C34:C35)</f>
        <v>12064700</v>
      </c>
      <c r="D33" s="9">
        <f>SUM(D34:D35)</f>
        <v>369625</v>
      </c>
      <c r="E33" s="9">
        <f>SUM(E34:E35)</f>
        <v>0</v>
      </c>
      <c r="F33" s="10">
        <v>0</v>
      </c>
      <c r="G33" s="9">
        <f>SUM(G34:G35)</f>
        <v>0</v>
      </c>
      <c r="H33" s="11">
        <f>SUM(H34:H35)</f>
        <v>369625</v>
      </c>
    </row>
    <row r="34" spans="1:8" ht="41.5" x14ac:dyDescent="0.35">
      <c r="A34" s="12" t="s">
        <v>59</v>
      </c>
      <c r="B34" s="29" t="s">
        <v>60</v>
      </c>
      <c r="C34" s="67">
        <v>9625050</v>
      </c>
      <c r="D34" s="68">
        <v>369625</v>
      </c>
      <c r="E34" s="69"/>
      <c r="F34" s="70"/>
      <c r="G34" s="69"/>
      <c r="H34" s="28">
        <f>D34-E34</f>
        <v>369625</v>
      </c>
    </row>
    <row r="35" spans="1:8" ht="42" thickBot="1" x14ac:dyDescent="0.4">
      <c r="A35" s="71" t="s">
        <v>61</v>
      </c>
      <c r="B35" s="72" t="s">
        <v>60</v>
      </c>
      <c r="C35" s="73">
        <v>2439650</v>
      </c>
      <c r="D35" s="74">
        <v>0</v>
      </c>
      <c r="E35" s="75">
        <v>0</v>
      </c>
      <c r="F35" s="76">
        <v>0</v>
      </c>
      <c r="G35" s="75">
        <v>0</v>
      </c>
      <c r="H35" s="77">
        <v>0</v>
      </c>
    </row>
    <row r="36" spans="1:8" x14ac:dyDescent="0.35">
      <c r="A36" s="78"/>
      <c r="B36" s="62"/>
      <c r="C36" s="62"/>
      <c r="D36" s="64"/>
      <c r="E36" s="79"/>
      <c r="F36" s="80"/>
      <c r="G36" s="64"/>
      <c r="H36" s="81"/>
    </row>
    <row r="37" spans="1:8" ht="15" thickBot="1" x14ac:dyDescent="0.4">
      <c r="B37" s="82"/>
      <c r="C37" s="82"/>
    </row>
    <row r="38" spans="1:8" ht="17.5" customHeight="1" thickBot="1" x14ac:dyDescent="0.4">
      <c r="A38" s="200" t="s">
        <v>65</v>
      </c>
      <c r="B38" s="201"/>
      <c r="C38" s="201"/>
      <c r="D38" s="201"/>
      <c r="E38" s="201"/>
      <c r="F38" s="201"/>
      <c r="G38" s="201"/>
      <c r="H38" s="202"/>
    </row>
    <row r="39" spans="1:8" ht="58" x14ac:dyDescent="0.35">
      <c r="A39" s="2" t="s">
        <v>0</v>
      </c>
      <c r="B39" s="3" t="s">
        <v>1</v>
      </c>
      <c r="C39" s="4" t="s">
        <v>2</v>
      </c>
      <c r="D39" s="4" t="s">
        <v>3</v>
      </c>
      <c r="E39" s="4" t="s">
        <v>4</v>
      </c>
      <c r="F39" s="3" t="s">
        <v>5</v>
      </c>
      <c r="G39" s="3" t="s">
        <v>6</v>
      </c>
      <c r="H39" s="5" t="s">
        <v>7</v>
      </c>
    </row>
    <row r="40" spans="1:8" x14ac:dyDescent="0.35">
      <c r="A40" s="83" t="s">
        <v>8</v>
      </c>
      <c r="B40" s="84" t="s">
        <v>9</v>
      </c>
      <c r="C40" s="85">
        <f>C41+C49+C52+C54+C58+C62+C67+C69</f>
        <v>43689200</v>
      </c>
      <c r="D40" s="85">
        <f>D41+D49+D52+D54+D58+D62+D67+D69</f>
        <v>17324139</v>
      </c>
      <c r="E40" s="85">
        <f>E41+E49+E52+E54+E58+E62+E67+E69</f>
        <v>6748434.3499999996</v>
      </c>
      <c r="F40" s="86">
        <f>E40/D40*100</f>
        <v>38.953937912874053</v>
      </c>
      <c r="G40" s="85">
        <f>G41+G49+G52+G54+G58+G62+G67+G69</f>
        <v>118155.95000000001</v>
      </c>
      <c r="H40" s="87">
        <f>H41+H49+H52+H54+H58+H62+H67+H69</f>
        <v>10575704.649999999</v>
      </c>
    </row>
    <row r="41" spans="1:8" ht="39.5" x14ac:dyDescent="0.35">
      <c r="A41" s="83"/>
      <c r="B41" s="89" t="s">
        <v>10</v>
      </c>
      <c r="C41" s="90">
        <f>SUM(C42:C48)</f>
        <v>11483500</v>
      </c>
      <c r="D41" s="90">
        <f>SUM(D42:D48)</f>
        <v>3479580</v>
      </c>
      <c r="E41" s="90">
        <f>SUM(E42:E48)</f>
        <v>1064214.76</v>
      </c>
      <c r="F41" s="91">
        <f t="shared" ref="F41:F48" si="3">E41/D41*100</f>
        <v>30.584575149874411</v>
      </c>
      <c r="G41" s="90">
        <f>SUM(G42:G48)</f>
        <v>14884.1</v>
      </c>
      <c r="H41" s="92">
        <f>SUM(H42:H48)</f>
        <v>2415365.2400000002</v>
      </c>
    </row>
    <row r="42" spans="1:8" ht="29" x14ac:dyDescent="0.35">
      <c r="A42" s="83" t="s">
        <v>11</v>
      </c>
      <c r="B42" s="93" t="s">
        <v>12</v>
      </c>
      <c r="C42" s="94">
        <v>5000000</v>
      </c>
      <c r="D42" s="94">
        <v>1000000</v>
      </c>
      <c r="E42" s="94">
        <v>0</v>
      </c>
      <c r="F42" s="95">
        <v>0</v>
      </c>
      <c r="G42" s="94">
        <v>0</v>
      </c>
      <c r="H42" s="96">
        <f t="shared" ref="H42:H48" si="4">D42-E42</f>
        <v>1000000</v>
      </c>
    </row>
    <row r="43" spans="1:8" ht="51" x14ac:dyDescent="0.35">
      <c r="A43" s="83" t="s">
        <v>13</v>
      </c>
      <c r="B43" s="93" t="s">
        <v>14</v>
      </c>
      <c r="C43" s="97">
        <v>2783000</v>
      </c>
      <c r="D43" s="97">
        <v>556600</v>
      </c>
      <c r="E43" s="97">
        <v>187501.6</v>
      </c>
      <c r="F43" s="98">
        <v>0</v>
      </c>
      <c r="G43" s="97">
        <v>4734.1000000000004</v>
      </c>
      <c r="H43" s="99">
        <f t="shared" si="4"/>
        <v>369098.4</v>
      </c>
    </row>
    <row r="44" spans="1:8" ht="51" x14ac:dyDescent="0.35">
      <c r="A44" s="83" t="s">
        <v>15</v>
      </c>
      <c r="B44" s="93" t="s">
        <v>16</v>
      </c>
      <c r="C44" s="97">
        <v>500000</v>
      </c>
      <c r="D44" s="97">
        <v>0</v>
      </c>
      <c r="E44" s="97">
        <v>0</v>
      </c>
      <c r="F44" s="98">
        <v>0</v>
      </c>
      <c r="G44" s="97">
        <v>0</v>
      </c>
      <c r="H44" s="99">
        <f t="shared" si="4"/>
        <v>0</v>
      </c>
    </row>
    <row r="45" spans="1:8" ht="38.5" x14ac:dyDescent="0.35">
      <c r="A45" s="83" t="s">
        <v>17</v>
      </c>
      <c r="B45" s="93" t="s">
        <v>18</v>
      </c>
      <c r="C45" s="97">
        <v>500000</v>
      </c>
      <c r="D45" s="97">
        <v>200000</v>
      </c>
      <c r="E45" s="97">
        <v>138933</v>
      </c>
      <c r="F45" s="98">
        <v>0</v>
      </c>
      <c r="G45" s="97">
        <v>0</v>
      </c>
      <c r="H45" s="99">
        <f t="shared" si="4"/>
        <v>61067</v>
      </c>
    </row>
    <row r="46" spans="1:8" ht="51" x14ac:dyDescent="0.35">
      <c r="A46" s="83" t="s">
        <v>19</v>
      </c>
      <c r="B46" s="93" t="s">
        <v>20</v>
      </c>
      <c r="C46" s="97">
        <v>675000</v>
      </c>
      <c r="D46" s="97">
        <v>135000</v>
      </c>
      <c r="E46" s="97">
        <v>50000</v>
      </c>
      <c r="F46" s="98">
        <v>0</v>
      </c>
      <c r="G46" s="97">
        <v>0</v>
      </c>
      <c r="H46" s="99">
        <f t="shared" si="4"/>
        <v>85000</v>
      </c>
    </row>
    <row r="47" spans="1:8" ht="41.5" x14ac:dyDescent="0.35">
      <c r="A47" s="83" t="s">
        <v>21</v>
      </c>
      <c r="B47" s="100" t="s">
        <v>22</v>
      </c>
      <c r="C47" s="97">
        <v>186400</v>
      </c>
      <c r="D47" s="97">
        <v>37280</v>
      </c>
      <c r="E47" s="97">
        <v>2658.16</v>
      </c>
      <c r="F47" s="98">
        <v>0</v>
      </c>
      <c r="G47" s="97">
        <v>1850</v>
      </c>
      <c r="H47" s="99">
        <f t="shared" si="4"/>
        <v>34621.839999999997</v>
      </c>
    </row>
    <row r="48" spans="1:8" ht="51" x14ac:dyDescent="0.35">
      <c r="A48" s="83" t="s">
        <v>23</v>
      </c>
      <c r="B48" s="93" t="s">
        <v>24</v>
      </c>
      <c r="C48" s="97">
        <v>1839100</v>
      </c>
      <c r="D48" s="97">
        <v>1550700</v>
      </c>
      <c r="E48" s="97">
        <v>685122</v>
      </c>
      <c r="F48" s="98">
        <f t="shared" si="3"/>
        <v>44.181466434513446</v>
      </c>
      <c r="G48" s="97">
        <v>8300</v>
      </c>
      <c r="H48" s="99">
        <f t="shared" si="4"/>
        <v>865578</v>
      </c>
    </row>
    <row r="49" spans="1:8" ht="52.5" x14ac:dyDescent="0.35">
      <c r="A49" s="83"/>
      <c r="B49" s="89" t="s">
        <v>25</v>
      </c>
      <c r="C49" s="90">
        <f>SUM(C50:C51)</f>
        <v>735300</v>
      </c>
      <c r="D49" s="90">
        <f t="shared" ref="D49:E49" si="5">SUM(D50:D51)</f>
        <v>595060</v>
      </c>
      <c r="E49" s="90">
        <f t="shared" si="5"/>
        <v>84458.39</v>
      </c>
      <c r="F49" s="91">
        <f>E49/D49*100</f>
        <v>14.193256142237756</v>
      </c>
      <c r="G49" s="90">
        <f>SUM(G50:G51)</f>
        <v>48948.42</v>
      </c>
      <c r="H49" s="92">
        <f>SUM(H50:H51)</f>
        <v>510601.61</v>
      </c>
    </row>
    <row r="50" spans="1:8" ht="58" x14ac:dyDescent="0.35">
      <c r="A50" s="83" t="s">
        <v>26</v>
      </c>
      <c r="B50" s="88" t="s">
        <v>27</v>
      </c>
      <c r="C50" s="102">
        <v>360300</v>
      </c>
      <c r="D50" s="102">
        <v>221660</v>
      </c>
      <c r="E50" s="94">
        <v>35509.97</v>
      </c>
      <c r="F50" s="95">
        <v>0</v>
      </c>
      <c r="G50" s="94">
        <v>0</v>
      </c>
      <c r="H50" s="103">
        <f>D50-E50</f>
        <v>186150.03</v>
      </c>
    </row>
    <row r="51" spans="1:8" ht="58" x14ac:dyDescent="0.35">
      <c r="A51" s="83" t="s">
        <v>28</v>
      </c>
      <c r="B51" s="88" t="s">
        <v>29</v>
      </c>
      <c r="C51" s="102">
        <v>375000</v>
      </c>
      <c r="D51" s="102">
        <v>373400</v>
      </c>
      <c r="E51" s="94">
        <v>48948.42</v>
      </c>
      <c r="F51" s="95">
        <f>E51/D51*100</f>
        <v>13.108843063738618</v>
      </c>
      <c r="G51" s="94">
        <v>48948.42</v>
      </c>
      <c r="H51" s="103">
        <f>D51-E51</f>
        <v>324451.58</v>
      </c>
    </row>
    <row r="52" spans="1:8" ht="26.5" x14ac:dyDescent="0.35">
      <c r="A52" s="83"/>
      <c r="B52" s="84" t="s">
        <v>30</v>
      </c>
      <c r="C52" s="85">
        <f>SUM(C53)</f>
        <v>2500000</v>
      </c>
      <c r="D52" s="85">
        <f>SUM(D53)</f>
        <v>500000</v>
      </c>
      <c r="E52" s="85">
        <f>SUM(E53)</f>
        <v>0</v>
      </c>
      <c r="F52" s="86">
        <v>0</v>
      </c>
      <c r="G52" s="85">
        <v>0</v>
      </c>
      <c r="H52" s="87">
        <f>SUM(H53)</f>
        <v>500000</v>
      </c>
    </row>
    <row r="53" spans="1:8" ht="29" x14ac:dyDescent="0.35">
      <c r="A53" s="83" t="s">
        <v>31</v>
      </c>
      <c r="B53" s="88" t="s">
        <v>30</v>
      </c>
      <c r="C53" s="104">
        <v>2500000</v>
      </c>
      <c r="D53" s="104">
        <v>500000</v>
      </c>
      <c r="E53" s="104">
        <v>0</v>
      </c>
      <c r="F53" s="95">
        <v>0</v>
      </c>
      <c r="G53" s="104">
        <v>0</v>
      </c>
      <c r="H53" s="103">
        <f>D53-E53</f>
        <v>500000</v>
      </c>
    </row>
    <row r="54" spans="1:8" ht="52.5" x14ac:dyDescent="0.35">
      <c r="A54" s="83"/>
      <c r="B54" s="84" t="s">
        <v>32</v>
      </c>
      <c r="C54" s="85">
        <f>SUM(C55:C57)</f>
        <v>8186500</v>
      </c>
      <c r="D54" s="106">
        <f>SUM(D55:D57)</f>
        <v>3084700</v>
      </c>
      <c r="E54" s="106">
        <f>SUM(E55:E57)</f>
        <v>1526300.25</v>
      </c>
      <c r="F54" s="107">
        <f>E54/D54*100</f>
        <v>49.479698187830259</v>
      </c>
      <c r="G54" s="106">
        <f>SUM(G55:G57)</f>
        <v>13866.060000000001</v>
      </c>
      <c r="H54" s="87">
        <f>SUM(H55:H57)</f>
        <v>1558399.75</v>
      </c>
    </row>
    <row r="55" spans="1:8" ht="29" x14ac:dyDescent="0.35">
      <c r="A55" s="83" t="s">
        <v>33</v>
      </c>
      <c r="B55" s="88" t="s">
        <v>34</v>
      </c>
      <c r="C55" s="97">
        <v>2486500</v>
      </c>
      <c r="D55" s="97">
        <v>1139796</v>
      </c>
      <c r="E55" s="97">
        <v>689985.13</v>
      </c>
      <c r="F55" s="98">
        <f>E55/D55*100</f>
        <v>60.53584413351161</v>
      </c>
      <c r="G55" s="97">
        <v>4459.38</v>
      </c>
      <c r="H55" s="99">
        <f>D55-E55</f>
        <v>449810.87</v>
      </c>
    </row>
    <row r="56" spans="1:8" ht="41.5" x14ac:dyDescent="0.35">
      <c r="A56" s="83" t="s">
        <v>35</v>
      </c>
      <c r="B56" s="108" t="s">
        <v>36</v>
      </c>
      <c r="C56" s="97">
        <v>5500000</v>
      </c>
      <c r="D56" s="97">
        <v>1904904</v>
      </c>
      <c r="E56" s="97">
        <v>835594.54</v>
      </c>
      <c r="F56" s="98">
        <f>E56/D56*100</f>
        <v>43.865440988102286</v>
      </c>
      <c r="G56" s="97">
        <v>9406.68</v>
      </c>
      <c r="H56" s="99">
        <f>D56-E56</f>
        <v>1069309.46</v>
      </c>
    </row>
    <row r="57" spans="1:8" ht="58" x14ac:dyDescent="0.35">
      <c r="A57" s="83" t="s">
        <v>37</v>
      </c>
      <c r="B57" s="109" t="s">
        <v>38</v>
      </c>
      <c r="C57" s="110">
        <v>200000</v>
      </c>
      <c r="D57" s="97">
        <v>40000</v>
      </c>
      <c r="E57" s="97">
        <v>720.58</v>
      </c>
      <c r="F57" s="98">
        <v>0</v>
      </c>
      <c r="G57" s="97">
        <v>0</v>
      </c>
      <c r="H57" s="99">
        <f>D57-E57</f>
        <v>39279.42</v>
      </c>
    </row>
    <row r="58" spans="1:8" ht="39.5" x14ac:dyDescent="0.35">
      <c r="A58" s="112"/>
      <c r="B58" s="113" t="s">
        <v>39</v>
      </c>
      <c r="C58" s="114">
        <f>SUM(C59:C61)</f>
        <v>2077400</v>
      </c>
      <c r="D58" s="106">
        <f>SUM(D59:D61)</f>
        <v>417384</v>
      </c>
      <c r="E58" s="106">
        <f>SUM(E59:E61)</f>
        <v>22460.05</v>
      </c>
      <c r="F58" s="107">
        <f>E58/D58*100</f>
        <v>5.3811478159201123</v>
      </c>
      <c r="G58" s="106">
        <f>SUM(G59:G61)</f>
        <v>3531.24</v>
      </c>
      <c r="H58" s="115">
        <f>SUM(H59:H61)</f>
        <v>394923.95</v>
      </c>
    </row>
    <row r="59" spans="1:8" ht="58" x14ac:dyDescent="0.35">
      <c r="A59" s="112" t="s">
        <v>40</v>
      </c>
      <c r="B59" s="116" t="s">
        <v>41</v>
      </c>
      <c r="C59" s="117">
        <v>1852750</v>
      </c>
      <c r="D59" s="104">
        <v>376734</v>
      </c>
      <c r="E59" s="104">
        <v>22460.05</v>
      </c>
      <c r="F59" s="98">
        <f>E59/D59*100</f>
        <v>5.9617793987269536</v>
      </c>
      <c r="G59" s="104">
        <v>3531.24</v>
      </c>
      <c r="H59" s="118">
        <f>D59-E59</f>
        <v>354273.95</v>
      </c>
    </row>
    <row r="60" spans="1:8" ht="51" x14ac:dyDescent="0.35">
      <c r="A60" s="112" t="s">
        <v>42</v>
      </c>
      <c r="B60" s="119" t="s">
        <v>43</v>
      </c>
      <c r="C60" s="117">
        <v>74650</v>
      </c>
      <c r="D60" s="104">
        <v>10650</v>
      </c>
      <c r="E60" s="104">
        <v>0</v>
      </c>
      <c r="F60" s="98">
        <v>0</v>
      </c>
      <c r="G60" s="104">
        <v>0</v>
      </c>
      <c r="H60" s="118">
        <f>D60-E60</f>
        <v>10650</v>
      </c>
    </row>
    <row r="61" spans="1:8" ht="41.5" x14ac:dyDescent="0.35">
      <c r="A61" s="120" t="s">
        <v>44</v>
      </c>
      <c r="B61" s="121" t="s">
        <v>45</v>
      </c>
      <c r="C61" s="111">
        <v>150000</v>
      </c>
      <c r="D61" s="105">
        <v>30000</v>
      </c>
      <c r="E61" s="105">
        <v>0</v>
      </c>
      <c r="F61" s="101">
        <v>0</v>
      </c>
      <c r="G61" s="105">
        <v>0</v>
      </c>
      <c r="H61" s="122">
        <f>D61-E61</f>
        <v>30000</v>
      </c>
    </row>
    <row r="62" spans="1:8" ht="39.5" x14ac:dyDescent="0.35">
      <c r="A62" s="83"/>
      <c r="B62" s="84" t="s">
        <v>46</v>
      </c>
      <c r="C62" s="123">
        <f>SUM(C63:C66)</f>
        <v>5828800</v>
      </c>
      <c r="D62" s="85">
        <f>SUM(D63:D66)</f>
        <v>4332795</v>
      </c>
      <c r="E62" s="124">
        <f>SUM(E63:E66)</f>
        <v>3894050.4499999997</v>
      </c>
      <c r="F62" s="86">
        <f>E62/D62*100</f>
        <v>89.873867792037231</v>
      </c>
      <c r="G62" s="85">
        <f>SUM(G63:G66)</f>
        <v>30222.55</v>
      </c>
      <c r="H62" s="87">
        <f>SUM(H63:H66)</f>
        <v>438744.55000000005</v>
      </c>
    </row>
    <row r="63" spans="1:8" ht="38.5" x14ac:dyDescent="0.35">
      <c r="A63" s="83" t="s">
        <v>47</v>
      </c>
      <c r="B63" s="93" t="s">
        <v>48</v>
      </c>
      <c r="C63" s="125">
        <v>3600000</v>
      </c>
      <c r="D63" s="104">
        <v>3600000</v>
      </c>
      <c r="E63" s="118">
        <v>3600000</v>
      </c>
      <c r="F63" s="98">
        <v>0</v>
      </c>
      <c r="G63" s="126">
        <v>0</v>
      </c>
      <c r="H63" s="99">
        <f>D63-E63</f>
        <v>0</v>
      </c>
    </row>
    <row r="64" spans="1:8" ht="58" x14ac:dyDescent="0.35">
      <c r="A64" s="83" t="s">
        <v>49</v>
      </c>
      <c r="B64" s="88" t="s">
        <v>50</v>
      </c>
      <c r="C64" s="125">
        <v>150000</v>
      </c>
      <c r="D64" s="104">
        <v>37135</v>
      </c>
      <c r="E64" s="125">
        <v>8340.15</v>
      </c>
      <c r="F64" s="98">
        <f>E64/D64*100</f>
        <v>22.459000942507068</v>
      </c>
      <c r="G64" s="117">
        <v>10</v>
      </c>
      <c r="H64" s="99">
        <f>D64-E64</f>
        <v>28794.85</v>
      </c>
    </row>
    <row r="65" spans="1:8" ht="43.5" x14ac:dyDescent="0.35">
      <c r="A65" s="83" t="s">
        <v>51</v>
      </c>
      <c r="B65" s="88" t="s">
        <v>52</v>
      </c>
      <c r="C65" s="125">
        <v>1049800</v>
      </c>
      <c r="D65" s="104">
        <v>288160</v>
      </c>
      <c r="E65" s="125">
        <v>93644.69</v>
      </c>
      <c r="F65" s="98">
        <f>E65/D65*100</f>
        <v>32.497463214880625</v>
      </c>
      <c r="G65" s="104">
        <v>28362</v>
      </c>
      <c r="H65" s="99">
        <f>D65-E65</f>
        <v>194515.31</v>
      </c>
    </row>
    <row r="66" spans="1:8" ht="72.5" x14ac:dyDescent="0.35">
      <c r="A66" s="83" t="s">
        <v>53</v>
      </c>
      <c r="B66" s="88" t="s">
        <v>54</v>
      </c>
      <c r="C66" s="125">
        <v>1029000</v>
      </c>
      <c r="D66" s="104">
        <v>407500</v>
      </c>
      <c r="E66" s="126">
        <v>192065.61</v>
      </c>
      <c r="F66" s="98">
        <f>E66/D66*100</f>
        <v>47.132665030674843</v>
      </c>
      <c r="G66" s="104">
        <v>1850.55</v>
      </c>
      <c r="H66" s="99">
        <f>D66-E66</f>
        <v>215434.39</v>
      </c>
    </row>
    <row r="67" spans="1:8" ht="26.5" x14ac:dyDescent="0.35">
      <c r="A67" s="83"/>
      <c r="B67" s="84" t="s">
        <v>55</v>
      </c>
      <c r="C67" s="85">
        <f>SUM(C68)</f>
        <v>813000</v>
      </c>
      <c r="D67" s="85">
        <f>SUM(D68)</f>
        <v>221200</v>
      </c>
      <c r="E67" s="124">
        <f>SUM(E68)</f>
        <v>72665.36</v>
      </c>
      <c r="F67" s="86">
        <f t="shared" ref="F67" si="6">E67/D67*100</f>
        <v>32.850524412296565</v>
      </c>
      <c r="G67" s="85">
        <f>SUM(G68)</f>
        <v>6703.58</v>
      </c>
      <c r="H67" s="87">
        <f>SUM(H68)</f>
        <v>148534.64000000001</v>
      </c>
    </row>
    <row r="68" spans="1:8" ht="51" x14ac:dyDescent="0.35">
      <c r="A68" s="83" t="s">
        <v>56</v>
      </c>
      <c r="B68" s="93" t="s">
        <v>57</v>
      </c>
      <c r="C68" s="104">
        <v>813000</v>
      </c>
      <c r="D68" s="104">
        <v>221200</v>
      </c>
      <c r="E68" s="126">
        <v>72665.36</v>
      </c>
      <c r="F68" s="98">
        <f>E68/D68*100</f>
        <v>32.850524412296565</v>
      </c>
      <c r="G68" s="104">
        <v>6703.58</v>
      </c>
      <c r="H68" s="99">
        <f>D68-E68</f>
        <v>148534.64000000001</v>
      </c>
    </row>
    <row r="69" spans="1:8" ht="52.5" x14ac:dyDescent="0.35">
      <c r="A69" s="83"/>
      <c r="B69" s="84" t="s">
        <v>58</v>
      </c>
      <c r="C69" s="85">
        <f>SUM(C70:C71)</f>
        <v>12064700</v>
      </c>
      <c r="D69" s="85">
        <f>SUM(D70:D71)</f>
        <v>4693420</v>
      </c>
      <c r="E69" s="85">
        <f>SUM(E70:E71)</f>
        <v>84285.09</v>
      </c>
      <c r="F69" s="86">
        <f>E69/D69*100</f>
        <v>1.7958139267314666</v>
      </c>
      <c r="G69" s="85">
        <f>SUM(G70:G71)</f>
        <v>0</v>
      </c>
      <c r="H69" s="87">
        <f>SUM(H70:H71)</f>
        <v>4609134.91</v>
      </c>
    </row>
    <row r="70" spans="1:8" ht="41.5" x14ac:dyDescent="0.35">
      <c r="A70" s="83" t="s">
        <v>59</v>
      </c>
      <c r="B70" s="100" t="s">
        <v>60</v>
      </c>
      <c r="C70" s="127">
        <v>9625050</v>
      </c>
      <c r="D70" s="127">
        <v>4190858</v>
      </c>
      <c r="E70" s="128">
        <v>80000</v>
      </c>
      <c r="F70" s="129">
        <f>E70/D70*100</f>
        <v>1.9089169807232791</v>
      </c>
      <c r="G70" s="128">
        <v>0</v>
      </c>
      <c r="H70" s="99">
        <f>D70-E70</f>
        <v>4110858</v>
      </c>
    </row>
    <row r="71" spans="1:8" ht="44" customHeight="1" thickBot="1" x14ac:dyDescent="0.4">
      <c r="A71" s="130" t="s">
        <v>61</v>
      </c>
      <c r="B71" s="131" t="s">
        <v>60</v>
      </c>
      <c r="C71" s="132">
        <v>2439650</v>
      </c>
      <c r="D71" s="132">
        <v>502562</v>
      </c>
      <c r="E71" s="133">
        <v>4285.09</v>
      </c>
      <c r="F71" s="134">
        <f>E71/D71*100</f>
        <v>0.85264902638878404</v>
      </c>
      <c r="G71" s="133">
        <v>0</v>
      </c>
      <c r="H71" s="135">
        <f>D71-E71</f>
        <v>498276.91</v>
      </c>
    </row>
    <row r="72" spans="1:8" x14ac:dyDescent="0.35">
      <c r="A72" s="78"/>
      <c r="B72" s="64"/>
      <c r="C72" s="64"/>
      <c r="D72" s="64"/>
      <c r="E72" s="79"/>
      <c r="F72" s="80"/>
      <c r="G72" s="64"/>
      <c r="H72" s="81"/>
    </row>
    <row r="73" spans="1:8" ht="15" thickBot="1" x14ac:dyDescent="0.4">
      <c r="B73" s="82"/>
      <c r="C73" s="82"/>
    </row>
    <row r="74" spans="1:8" ht="16" customHeight="1" thickBot="1" x14ac:dyDescent="0.4">
      <c r="A74" s="200" t="s">
        <v>64</v>
      </c>
      <c r="B74" s="203"/>
      <c r="C74" s="203"/>
      <c r="D74" s="203"/>
      <c r="E74" s="203"/>
      <c r="F74" s="203"/>
      <c r="G74" s="203"/>
      <c r="H74" s="204"/>
    </row>
    <row r="75" spans="1:8" ht="58" x14ac:dyDescent="0.35">
      <c r="A75" s="2" t="s">
        <v>0</v>
      </c>
      <c r="B75" s="3" t="s">
        <v>1</v>
      </c>
      <c r="C75" s="4" t="s">
        <v>2</v>
      </c>
      <c r="D75" s="4" t="s">
        <v>3</v>
      </c>
      <c r="E75" s="4" t="s">
        <v>4</v>
      </c>
      <c r="F75" s="3" t="s">
        <v>5</v>
      </c>
      <c r="G75" s="3" t="s">
        <v>6</v>
      </c>
      <c r="H75" s="5" t="s">
        <v>7</v>
      </c>
    </row>
    <row r="76" spans="1:8" x14ac:dyDescent="0.35">
      <c r="A76" s="6" t="s">
        <v>8</v>
      </c>
      <c r="B76" s="136" t="s">
        <v>9</v>
      </c>
      <c r="C76" s="9">
        <f>C77+C85+C88+C90+C94+C98+C103+C105</f>
        <v>43689200</v>
      </c>
      <c r="D76" s="9">
        <f>D77+D85+D88+D90+D94+D98+D103+D105</f>
        <v>23234739</v>
      </c>
      <c r="E76" s="9">
        <f>E77+E85+E88+E90+E94+E98+E103+E105</f>
        <v>11746356.17</v>
      </c>
      <c r="F76" s="10">
        <f>E76/D76*100</f>
        <v>50.555145766862289</v>
      </c>
      <c r="G76" s="9">
        <f>G77+G85+G88+G90+G94+G98+G103+G105</f>
        <v>1656347.96</v>
      </c>
      <c r="H76" s="11">
        <f>H77+H85+H88+H90+H94+H98+H103+H105</f>
        <v>11488382.830000002</v>
      </c>
    </row>
    <row r="77" spans="1:8" ht="39.5" x14ac:dyDescent="0.35">
      <c r="A77" s="12"/>
      <c r="B77" s="15" t="s">
        <v>10</v>
      </c>
      <c r="C77" s="17">
        <f>SUM(C78:C84)</f>
        <v>11483500</v>
      </c>
      <c r="D77" s="17">
        <f>SUM(D78:D84)</f>
        <v>4521880</v>
      </c>
      <c r="E77" s="17">
        <f>SUM(E78:E84)</f>
        <v>2542800.3499999996</v>
      </c>
      <c r="F77" s="18">
        <f t="shared" ref="F77:F84" si="7">E77/D77*100</f>
        <v>56.233255858182872</v>
      </c>
      <c r="G77" s="17">
        <f>SUM(G78:G84)</f>
        <v>285017.90000000002</v>
      </c>
      <c r="H77" s="19">
        <f>SUM(H78:H84)</f>
        <v>1979079.6500000001</v>
      </c>
    </row>
    <row r="78" spans="1:8" ht="29" x14ac:dyDescent="0.35">
      <c r="A78" s="12" t="s">
        <v>11</v>
      </c>
      <c r="B78" s="20" t="s">
        <v>12</v>
      </c>
      <c r="C78" s="22">
        <v>5000000</v>
      </c>
      <c r="D78" s="22">
        <v>1000000</v>
      </c>
      <c r="E78" s="22">
        <v>0</v>
      </c>
      <c r="F78" s="23">
        <v>0</v>
      </c>
      <c r="G78" s="22">
        <v>0</v>
      </c>
      <c r="H78" s="24">
        <f t="shared" ref="H78:H84" si="8">D78-E78</f>
        <v>1000000</v>
      </c>
    </row>
    <row r="79" spans="1:8" ht="51" x14ac:dyDescent="0.35">
      <c r="A79" s="12" t="s">
        <v>13</v>
      </c>
      <c r="B79" s="20" t="s">
        <v>14</v>
      </c>
      <c r="C79" s="26">
        <v>2783000</v>
      </c>
      <c r="D79" s="26">
        <v>593400</v>
      </c>
      <c r="E79" s="26">
        <v>344198.94</v>
      </c>
      <c r="F79" s="27">
        <v>0</v>
      </c>
      <c r="G79" s="26">
        <v>6236</v>
      </c>
      <c r="H79" s="28">
        <f t="shared" si="8"/>
        <v>249201.06</v>
      </c>
    </row>
    <row r="80" spans="1:8" ht="51" x14ac:dyDescent="0.35">
      <c r="A80" s="12" t="s">
        <v>15</v>
      </c>
      <c r="B80" s="20" t="s">
        <v>16</v>
      </c>
      <c r="C80" s="26">
        <v>500000</v>
      </c>
      <c r="D80" s="26">
        <v>500000</v>
      </c>
      <c r="E80" s="26">
        <v>500000</v>
      </c>
      <c r="F80" s="27">
        <v>0</v>
      </c>
      <c r="G80" s="26">
        <v>0</v>
      </c>
      <c r="H80" s="28">
        <f t="shared" si="8"/>
        <v>0</v>
      </c>
    </row>
    <row r="81" spans="1:8" ht="38.5" x14ac:dyDescent="0.35">
      <c r="A81" s="12" t="s">
        <v>17</v>
      </c>
      <c r="B81" s="20" t="s">
        <v>18</v>
      </c>
      <c r="C81" s="26">
        <v>500000</v>
      </c>
      <c r="D81" s="26">
        <v>447500</v>
      </c>
      <c r="E81" s="26">
        <v>330926</v>
      </c>
      <c r="F81" s="27">
        <v>0</v>
      </c>
      <c r="G81" s="26">
        <v>4640</v>
      </c>
      <c r="H81" s="28">
        <f t="shared" si="8"/>
        <v>116574</v>
      </c>
    </row>
    <row r="82" spans="1:8" ht="51" x14ac:dyDescent="0.35">
      <c r="A82" s="12" t="s">
        <v>19</v>
      </c>
      <c r="B82" s="20" t="s">
        <v>20</v>
      </c>
      <c r="C82" s="26">
        <v>675000</v>
      </c>
      <c r="D82" s="26">
        <v>320000</v>
      </c>
      <c r="E82" s="26">
        <v>123250</v>
      </c>
      <c r="F82" s="27">
        <v>0</v>
      </c>
      <c r="G82" s="26">
        <v>0</v>
      </c>
      <c r="H82" s="28">
        <f t="shared" si="8"/>
        <v>196750</v>
      </c>
    </row>
    <row r="83" spans="1:8" ht="41.5" x14ac:dyDescent="0.35">
      <c r="A83" s="12" t="s">
        <v>21</v>
      </c>
      <c r="B83" s="29" t="s">
        <v>22</v>
      </c>
      <c r="C83" s="26">
        <v>186400</v>
      </c>
      <c r="D83" s="26">
        <v>110280</v>
      </c>
      <c r="E83" s="26">
        <v>9223.16</v>
      </c>
      <c r="F83" s="27">
        <v>0</v>
      </c>
      <c r="G83" s="26">
        <v>2519.9</v>
      </c>
      <c r="H83" s="28">
        <f t="shared" si="8"/>
        <v>101056.84</v>
      </c>
    </row>
    <row r="84" spans="1:8" ht="51" x14ac:dyDescent="0.35">
      <c r="A84" s="12" t="s">
        <v>23</v>
      </c>
      <c r="B84" s="20" t="s">
        <v>24</v>
      </c>
      <c r="C84" s="26">
        <v>1839100</v>
      </c>
      <c r="D84" s="26">
        <v>1550700</v>
      </c>
      <c r="E84" s="26">
        <v>1235202.25</v>
      </c>
      <c r="F84" s="27">
        <f t="shared" si="7"/>
        <v>79.654494744309019</v>
      </c>
      <c r="G84" s="26">
        <v>271622</v>
      </c>
      <c r="H84" s="28">
        <f t="shared" si="8"/>
        <v>315497.75</v>
      </c>
    </row>
    <row r="85" spans="1:8" ht="52.5" x14ac:dyDescent="0.35">
      <c r="A85" s="12"/>
      <c r="B85" s="15" t="s">
        <v>25</v>
      </c>
      <c r="C85" s="17">
        <f>SUM(C86:C87)</f>
        <v>735300</v>
      </c>
      <c r="D85" s="17">
        <f t="shared" ref="D85:E85" si="9">SUM(D86:D87)</f>
        <v>595060</v>
      </c>
      <c r="E85" s="17">
        <f t="shared" si="9"/>
        <v>340602.08999999997</v>
      </c>
      <c r="F85" s="18">
        <f>E85/D85*100</f>
        <v>57.238276812422271</v>
      </c>
      <c r="G85" s="17">
        <f>SUM(G86:G87)</f>
        <v>84458.39</v>
      </c>
      <c r="H85" s="19">
        <f>SUM(H86:H87)</f>
        <v>254457.91</v>
      </c>
    </row>
    <row r="86" spans="1:8" ht="58" x14ac:dyDescent="0.35">
      <c r="A86" s="12" t="s">
        <v>26</v>
      </c>
      <c r="B86" s="13" t="s">
        <v>27</v>
      </c>
      <c r="C86" s="33">
        <v>360300</v>
      </c>
      <c r="D86" s="33">
        <v>221660</v>
      </c>
      <c r="E86" s="22">
        <v>41555.85</v>
      </c>
      <c r="F86" s="23">
        <v>0</v>
      </c>
      <c r="G86" s="22">
        <v>35509.97</v>
      </c>
      <c r="H86" s="34">
        <f>D86-E86</f>
        <v>180104.15</v>
      </c>
    </row>
    <row r="87" spans="1:8" ht="58" x14ac:dyDescent="0.35">
      <c r="A87" s="12" t="s">
        <v>28</v>
      </c>
      <c r="B87" s="13" t="s">
        <v>29</v>
      </c>
      <c r="C87" s="33">
        <v>375000</v>
      </c>
      <c r="D87" s="33">
        <v>373400</v>
      </c>
      <c r="E87" s="22">
        <v>299046.24</v>
      </c>
      <c r="F87" s="23">
        <f>E87/D87*100</f>
        <v>80.087370112479917</v>
      </c>
      <c r="G87" s="22">
        <v>48948.42</v>
      </c>
      <c r="H87" s="34">
        <f>D87-E87</f>
        <v>74353.760000000009</v>
      </c>
    </row>
    <row r="88" spans="1:8" ht="26.5" x14ac:dyDescent="0.35">
      <c r="A88" s="12"/>
      <c r="B88" s="36" t="s">
        <v>30</v>
      </c>
      <c r="C88" s="9">
        <f>SUM(C89)</f>
        <v>2500000</v>
      </c>
      <c r="D88" s="9">
        <f>SUM(D89)</f>
        <v>500000</v>
      </c>
      <c r="E88" s="9">
        <f>SUM(E89)</f>
        <v>0</v>
      </c>
      <c r="F88" s="10">
        <v>0</v>
      </c>
      <c r="G88" s="9">
        <v>0</v>
      </c>
      <c r="H88" s="11">
        <f>SUM(H89)</f>
        <v>500000</v>
      </c>
    </row>
    <row r="89" spans="1:8" ht="29" x14ac:dyDescent="0.35">
      <c r="A89" s="12" t="s">
        <v>31</v>
      </c>
      <c r="B89" s="13" t="s">
        <v>30</v>
      </c>
      <c r="C89" s="38">
        <v>2500000</v>
      </c>
      <c r="D89" s="38">
        <v>500000</v>
      </c>
      <c r="E89" s="38">
        <v>0</v>
      </c>
      <c r="F89" s="23">
        <v>0</v>
      </c>
      <c r="G89" s="38">
        <v>0</v>
      </c>
      <c r="H89" s="34">
        <f>D89-E89</f>
        <v>500000</v>
      </c>
    </row>
    <row r="90" spans="1:8" ht="52.5" x14ac:dyDescent="0.35">
      <c r="A90" s="12"/>
      <c r="B90" s="36" t="s">
        <v>32</v>
      </c>
      <c r="C90" s="9">
        <f>SUM(C91:C93)</f>
        <v>8114500</v>
      </c>
      <c r="D90" s="40">
        <f>SUM(D91:D93)</f>
        <v>4412406</v>
      </c>
      <c r="E90" s="40">
        <f>SUM(E91:E93)</f>
        <v>2716873.03</v>
      </c>
      <c r="F90" s="41">
        <f>E90/D90*100</f>
        <v>61.573505021976672</v>
      </c>
      <c r="G90" s="40">
        <f>SUM(G91:G93)</f>
        <v>641140.25</v>
      </c>
      <c r="H90" s="11">
        <f>SUM(H91:H93)</f>
        <v>1695532.97</v>
      </c>
    </row>
    <row r="91" spans="1:8" ht="29" x14ac:dyDescent="0.35">
      <c r="A91" s="12" t="s">
        <v>33</v>
      </c>
      <c r="B91" s="13" t="s">
        <v>34</v>
      </c>
      <c r="C91" s="26">
        <v>2414500</v>
      </c>
      <c r="D91" s="26">
        <v>1573192</v>
      </c>
      <c r="E91" s="26">
        <v>1054570.1299999999</v>
      </c>
      <c r="F91" s="27">
        <f>E91/D91*100</f>
        <v>67.033784178917756</v>
      </c>
      <c r="G91" s="26">
        <v>182235.17</v>
      </c>
      <c r="H91" s="28">
        <f>D91-E91</f>
        <v>518621.87000000011</v>
      </c>
    </row>
    <row r="92" spans="1:8" ht="41.5" x14ac:dyDescent="0.35">
      <c r="A92" s="12" t="s">
        <v>35</v>
      </c>
      <c r="B92" s="42" t="s">
        <v>36</v>
      </c>
      <c r="C92" s="26">
        <v>5500000</v>
      </c>
      <c r="D92" s="26">
        <v>2755942</v>
      </c>
      <c r="E92" s="26">
        <v>1660163.12</v>
      </c>
      <c r="F92" s="27">
        <f>E92/D92*100</f>
        <v>60.239407070250394</v>
      </c>
      <c r="G92" s="26">
        <v>458841.08</v>
      </c>
      <c r="H92" s="28">
        <f>D92-E92</f>
        <v>1095778.8799999999</v>
      </c>
    </row>
    <row r="93" spans="1:8" ht="58" x14ac:dyDescent="0.35">
      <c r="A93" s="12" t="s">
        <v>37</v>
      </c>
      <c r="B93" s="43" t="s">
        <v>38</v>
      </c>
      <c r="C93" s="138">
        <v>200000</v>
      </c>
      <c r="D93" s="26">
        <v>83272</v>
      </c>
      <c r="E93" s="26">
        <v>2139.7800000000002</v>
      </c>
      <c r="F93" s="27">
        <v>0</v>
      </c>
      <c r="G93" s="26">
        <v>64</v>
      </c>
      <c r="H93" s="28">
        <f>D93-E93</f>
        <v>81132.22</v>
      </c>
    </row>
    <row r="94" spans="1:8" ht="39.5" x14ac:dyDescent="0.35">
      <c r="A94" s="49"/>
      <c r="B94" s="50" t="s">
        <v>39</v>
      </c>
      <c r="C94" s="140">
        <f>SUM(C95:C97)</f>
        <v>2077400</v>
      </c>
      <c r="D94" s="40">
        <f>SUM(D95:D97)</f>
        <v>965830</v>
      </c>
      <c r="E94" s="40">
        <f>SUM(E95:E97)</f>
        <v>352060.3</v>
      </c>
      <c r="F94" s="41">
        <f>E94/D94*100</f>
        <v>36.451580505886128</v>
      </c>
      <c r="G94" s="40">
        <f>SUM(G95:G97)</f>
        <v>17142.09</v>
      </c>
      <c r="H94" s="52">
        <f>SUM(H95:H97)</f>
        <v>613769.69999999995</v>
      </c>
    </row>
    <row r="95" spans="1:8" ht="58" x14ac:dyDescent="0.35">
      <c r="A95" s="49" t="s">
        <v>40</v>
      </c>
      <c r="B95" s="53" t="s">
        <v>41</v>
      </c>
      <c r="C95" s="65">
        <v>1852750</v>
      </c>
      <c r="D95" s="38">
        <v>805180</v>
      </c>
      <c r="E95" s="38">
        <v>352060.3</v>
      </c>
      <c r="F95" s="27">
        <f>E95/D95*100</f>
        <v>43.724421868402096</v>
      </c>
      <c r="G95" s="38">
        <v>17142.09</v>
      </c>
      <c r="H95" s="55">
        <f>D95-E95</f>
        <v>453119.7</v>
      </c>
    </row>
    <row r="96" spans="1:8" ht="51" x14ac:dyDescent="0.35">
      <c r="A96" s="49" t="s">
        <v>42</v>
      </c>
      <c r="B96" s="56" t="s">
        <v>43</v>
      </c>
      <c r="C96" s="65">
        <v>74650</v>
      </c>
      <c r="D96" s="38">
        <v>10650</v>
      </c>
      <c r="E96" s="38">
        <v>0</v>
      </c>
      <c r="F96" s="27">
        <v>0</v>
      </c>
      <c r="G96" s="38">
        <v>0</v>
      </c>
      <c r="H96" s="55">
        <f>D96-E96</f>
        <v>10650</v>
      </c>
    </row>
    <row r="97" spans="1:8" ht="41.5" x14ac:dyDescent="0.35">
      <c r="A97" s="57" t="s">
        <v>44</v>
      </c>
      <c r="B97" s="58" t="s">
        <v>45</v>
      </c>
      <c r="C97" s="139">
        <v>150000</v>
      </c>
      <c r="D97" s="46">
        <v>150000</v>
      </c>
      <c r="E97" s="46">
        <v>0</v>
      </c>
      <c r="F97" s="31">
        <v>0</v>
      </c>
      <c r="G97" s="46">
        <v>0</v>
      </c>
      <c r="H97" s="59">
        <f>D97-E97</f>
        <v>150000</v>
      </c>
    </row>
    <row r="98" spans="1:8" ht="39.5" x14ac:dyDescent="0.35">
      <c r="A98" s="12"/>
      <c r="B98" s="36" t="s">
        <v>46</v>
      </c>
      <c r="C98" s="141">
        <f>SUM(C99:C102)</f>
        <v>5900900</v>
      </c>
      <c r="D98" s="9">
        <f>SUM(D99:D102)</f>
        <v>5114525</v>
      </c>
      <c r="E98" s="61">
        <f>SUM(E99:E102)</f>
        <v>4095391.5300000003</v>
      </c>
      <c r="F98" s="10">
        <f>E98/D98*100</f>
        <v>80.073741549801795</v>
      </c>
      <c r="G98" s="9">
        <f>SUM(G99:G102)</f>
        <v>84186.16</v>
      </c>
      <c r="H98" s="11">
        <f>SUM(H99:H102)</f>
        <v>1019133.47</v>
      </c>
    </row>
    <row r="99" spans="1:8" ht="38.5" x14ac:dyDescent="0.35">
      <c r="A99" s="12" t="s">
        <v>47</v>
      </c>
      <c r="B99" s="20" t="s">
        <v>48</v>
      </c>
      <c r="C99" s="64">
        <v>3600000</v>
      </c>
      <c r="D99" s="38">
        <v>3600000</v>
      </c>
      <c r="E99" s="55">
        <v>3600000</v>
      </c>
      <c r="F99" s="27">
        <v>0</v>
      </c>
      <c r="G99" s="63">
        <v>0</v>
      </c>
      <c r="H99" s="28">
        <f>D99-E99</f>
        <v>0</v>
      </c>
    </row>
    <row r="100" spans="1:8" ht="58" x14ac:dyDescent="0.35">
      <c r="A100" s="12" t="s">
        <v>49</v>
      </c>
      <c r="B100" s="13" t="s">
        <v>50</v>
      </c>
      <c r="C100" s="64">
        <v>150100</v>
      </c>
      <c r="D100" s="38">
        <v>37235</v>
      </c>
      <c r="E100" s="64">
        <v>12705.45</v>
      </c>
      <c r="F100" s="27">
        <f>E100/D100*100</f>
        <v>34.122331140056403</v>
      </c>
      <c r="G100" s="65">
        <v>6941.55</v>
      </c>
      <c r="H100" s="28">
        <f>D100-E100</f>
        <v>24529.55</v>
      </c>
    </row>
    <row r="101" spans="1:8" ht="43.5" x14ac:dyDescent="0.35">
      <c r="A101" s="12" t="s">
        <v>51</v>
      </c>
      <c r="B101" s="13" t="s">
        <v>52</v>
      </c>
      <c r="C101" s="64">
        <v>1121800</v>
      </c>
      <c r="D101" s="38">
        <v>625810</v>
      </c>
      <c r="E101" s="64">
        <v>262203.99</v>
      </c>
      <c r="F101" s="27">
        <f>E101/D101*100</f>
        <v>41.898338153752732</v>
      </c>
      <c r="G101" s="38">
        <v>74369.62</v>
      </c>
      <c r="H101" s="28">
        <f>D101-E101</f>
        <v>363606.01</v>
      </c>
    </row>
    <row r="102" spans="1:8" ht="72.5" x14ac:dyDescent="0.35">
      <c r="A102" s="12" t="s">
        <v>53</v>
      </c>
      <c r="B102" s="13" t="s">
        <v>54</v>
      </c>
      <c r="C102" s="64">
        <v>1029000</v>
      </c>
      <c r="D102" s="38">
        <v>851480</v>
      </c>
      <c r="E102" s="63">
        <v>220482.09</v>
      </c>
      <c r="F102" s="27">
        <f>E102/D102*100</f>
        <v>25.893983417109034</v>
      </c>
      <c r="G102" s="38">
        <v>2874.99</v>
      </c>
      <c r="H102" s="28">
        <f>D102-E102</f>
        <v>630997.91</v>
      </c>
    </row>
    <row r="103" spans="1:8" ht="26.5" x14ac:dyDescent="0.35">
      <c r="A103" s="12"/>
      <c r="B103" s="36" t="s">
        <v>55</v>
      </c>
      <c r="C103" s="9">
        <f>SUM(C104)</f>
        <v>812900</v>
      </c>
      <c r="D103" s="9">
        <f>SUM(D104)</f>
        <v>563249</v>
      </c>
      <c r="E103" s="61">
        <f>SUM(E104)</f>
        <v>124459.98</v>
      </c>
      <c r="F103" s="10">
        <f t="shared" ref="F103" si="10">E103/D103*100</f>
        <v>22.096795555784386</v>
      </c>
      <c r="G103" s="9">
        <f>SUM(G104)</f>
        <v>9174.14</v>
      </c>
      <c r="H103" s="11">
        <f>SUM(H104)</f>
        <v>438789.02</v>
      </c>
    </row>
    <row r="104" spans="1:8" ht="51" x14ac:dyDescent="0.35">
      <c r="A104" s="12" t="s">
        <v>56</v>
      </c>
      <c r="B104" s="20" t="s">
        <v>57</v>
      </c>
      <c r="C104" s="38">
        <v>812900</v>
      </c>
      <c r="D104" s="38">
        <v>563249</v>
      </c>
      <c r="E104" s="63">
        <v>124459.98</v>
      </c>
      <c r="F104" s="27">
        <f>E104/D104*100</f>
        <v>22.096795555784386</v>
      </c>
      <c r="G104" s="38">
        <v>9174.14</v>
      </c>
      <c r="H104" s="28">
        <f>D104-E104</f>
        <v>438789.02</v>
      </c>
    </row>
    <row r="105" spans="1:8" ht="52.5" x14ac:dyDescent="0.35">
      <c r="A105" s="12"/>
      <c r="B105" s="36" t="s">
        <v>58</v>
      </c>
      <c r="C105" s="9">
        <f>SUM(C106:C107)</f>
        <v>12064700</v>
      </c>
      <c r="D105" s="9">
        <f>SUM(D106:D107)</f>
        <v>6561789</v>
      </c>
      <c r="E105" s="9">
        <f>SUM(E106:E107)</f>
        <v>1574168.8900000001</v>
      </c>
      <c r="F105" s="10">
        <f>E105/D105*100</f>
        <v>23.989934604724414</v>
      </c>
      <c r="G105" s="9">
        <f>SUM(G106:G107)</f>
        <v>535229.03</v>
      </c>
      <c r="H105" s="11">
        <f>SUM(H106:H107)</f>
        <v>4987620.1100000003</v>
      </c>
    </row>
    <row r="106" spans="1:8" ht="41.5" x14ac:dyDescent="0.35">
      <c r="A106" s="12" t="s">
        <v>59</v>
      </c>
      <c r="B106" s="29" t="s">
        <v>60</v>
      </c>
      <c r="C106" s="68">
        <f>9534128+90922</f>
        <v>9625050</v>
      </c>
      <c r="D106" s="68">
        <f>5218934+90922</f>
        <v>5309856</v>
      </c>
      <c r="E106" s="69">
        <f>1285756.33+25568.59</f>
        <v>1311324.9200000002</v>
      </c>
      <c r="F106" s="70">
        <f>E106/D106*100</f>
        <v>24.696054280944722</v>
      </c>
      <c r="G106" s="69">
        <f>491598+3297.38</f>
        <v>494895.38</v>
      </c>
      <c r="H106" s="28">
        <f>D106-E106</f>
        <v>3998531.08</v>
      </c>
    </row>
    <row r="107" spans="1:8" ht="42" thickBot="1" x14ac:dyDescent="0.4">
      <c r="A107" s="71" t="s">
        <v>61</v>
      </c>
      <c r="B107" s="72" t="s">
        <v>60</v>
      </c>
      <c r="C107" s="74">
        <v>2439650</v>
      </c>
      <c r="D107" s="74">
        <v>1251933</v>
      </c>
      <c r="E107" s="75">
        <v>262843.96999999997</v>
      </c>
      <c r="F107" s="76">
        <f>E107/D107*100</f>
        <v>20.995050853360361</v>
      </c>
      <c r="G107" s="75">
        <v>40333.65</v>
      </c>
      <c r="H107" s="77">
        <f>D107-E107</f>
        <v>989089.03</v>
      </c>
    </row>
    <row r="109" spans="1:8" ht="15" thickBot="1" x14ac:dyDescent="0.4"/>
    <row r="110" spans="1:8" ht="15" thickBot="1" x14ac:dyDescent="0.4">
      <c r="A110" s="205" t="s">
        <v>63</v>
      </c>
      <c r="B110" s="198"/>
      <c r="C110" s="198"/>
      <c r="D110" s="198"/>
      <c r="E110" s="198"/>
      <c r="F110" s="198"/>
      <c r="G110" s="198"/>
      <c r="H110" s="199"/>
    </row>
    <row r="111" spans="1:8" ht="58" x14ac:dyDescent="0.35">
      <c r="A111" s="2" t="s">
        <v>0</v>
      </c>
      <c r="B111" s="3" t="s">
        <v>1</v>
      </c>
      <c r="C111" s="4" t="s">
        <v>2</v>
      </c>
      <c r="D111" s="4" t="s">
        <v>3</v>
      </c>
      <c r="E111" s="4" t="s">
        <v>4</v>
      </c>
      <c r="F111" s="3" t="s">
        <v>5</v>
      </c>
      <c r="G111" s="3" t="s">
        <v>6</v>
      </c>
      <c r="H111" s="5" t="s">
        <v>7</v>
      </c>
    </row>
    <row r="112" spans="1:8" x14ac:dyDescent="0.35">
      <c r="A112" s="142" t="s">
        <v>8</v>
      </c>
      <c r="B112" s="136" t="s">
        <v>9</v>
      </c>
      <c r="C112" s="9">
        <f>C113+C121+C124+C126+C130+C134+C139+C141</f>
        <v>43689200</v>
      </c>
      <c r="D112" s="9">
        <f>D113+D121+D124+D126+D130+D134+D139+D141</f>
        <v>24985385</v>
      </c>
      <c r="E112" s="9">
        <f>E113+E121+E124+E126+E130+E134+E139+E141</f>
        <v>14527944.02</v>
      </c>
      <c r="F112" s="10">
        <f>E112/D112*100</f>
        <v>58.145768096028938</v>
      </c>
      <c r="G112" s="9">
        <f>G113+G121+G124+G126+G130+G134+G139+G141</f>
        <v>2262517.2999999998</v>
      </c>
      <c r="H112" s="11">
        <f>H113+H121+H124+H126+H130+H134+H139+H141</f>
        <v>10457440.98</v>
      </c>
    </row>
    <row r="113" spans="1:8" x14ac:dyDescent="0.35">
      <c r="A113" s="143"/>
      <c r="B113" s="144" t="s">
        <v>10</v>
      </c>
      <c r="C113" s="17">
        <f>SUM(C114:C120)</f>
        <v>11483500</v>
      </c>
      <c r="D113" s="17">
        <f>SUM(D114:D120)</f>
        <v>4521880</v>
      </c>
      <c r="E113" s="17">
        <f>SUM(E114:E120)</f>
        <v>2814284.92</v>
      </c>
      <c r="F113" s="18">
        <f t="shared" ref="F113:F120" si="11">E113/D113*100</f>
        <v>62.237054499455979</v>
      </c>
      <c r="G113" s="17">
        <f>SUM(G114:G120)</f>
        <v>529648.52</v>
      </c>
      <c r="H113" s="19">
        <f>SUM(H114:H120)</f>
        <v>1707595.08</v>
      </c>
    </row>
    <row r="114" spans="1:8" x14ac:dyDescent="0.35">
      <c r="A114" s="143" t="s">
        <v>11</v>
      </c>
      <c r="B114" s="145" t="s">
        <v>12</v>
      </c>
      <c r="C114" s="22">
        <v>5000000</v>
      </c>
      <c r="D114" s="22">
        <v>1000000</v>
      </c>
      <c r="E114" s="22">
        <v>0</v>
      </c>
      <c r="F114" s="23">
        <f>E114/D114*100</f>
        <v>0</v>
      </c>
      <c r="G114" s="22">
        <v>0</v>
      </c>
      <c r="H114" s="24">
        <f t="shared" ref="H114:H120" si="12">D114-E114</f>
        <v>1000000</v>
      </c>
    </row>
    <row r="115" spans="1:8" x14ac:dyDescent="0.35">
      <c r="A115" s="143" t="s">
        <v>13</v>
      </c>
      <c r="B115" s="145" t="s">
        <v>14</v>
      </c>
      <c r="C115" s="26">
        <v>2791910</v>
      </c>
      <c r="D115" s="26">
        <v>602310</v>
      </c>
      <c r="E115" s="26">
        <v>458140.13</v>
      </c>
      <c r="F115" s="23">
        <f t="shared" ref="F115:F119" si="13">E115/D115*100</f>
        <v>76.063842539556049</v>
      </c>
      <c r="G115" s="26">
        <v>125121.36</v>
      </c>
      <c r="H115" s="28">
        <f t="shared" si="12"/>
        <v>144169.87</v>
      </c>
    </row>
    <row r="116" spans="1:8" x14ac:dyDescent="0.35">
      <c r="A116" s="143" t="s">
        <v>15</v>
      </c>
      <c r="B116" s="145" t="s">
        <v>16</v>
      </c>
      <c r="C116" s="26">
        <v>500000</v>
      </c>
      <c r="D116" s="26">
        <v>500000</v>
      </c>
      <c r="E116" s="26">
        <v>500000</v>
      </c>
      <c r="F116" s="23">
        <f t="shared" si="13"/>
        <v>100</v>
      </c>
      <c r="G116" s="26">
        <v>0</v>
      </c>
      <c r="H116" s="28">
        <f t="shared" si="12"/>
        <v>0</v>
      </c>
    </row>
    <row r="117" spans="1:8" x14ac:dyDescent="0.35">
      <c r="A117" s="143" t="s">
        <v>17</v>
      </c>
      <c r="B117" s="145" t="s">
        <v>18</v>
      </c>
      <c r="C117" s="26">
        <v>500000</v>
      </c>
      <c r="D117" s="26">
        <v>447500</v>
      </c>
      <c r="E117" s="26">
        <v>346151</v>
      </c>
      <c r="F117" s="23">
        <f t="shared" si="13"/>
        <v>77.35217877094972</v>
      </c>
      <c r="G117" s="26">
        <v>34047</v>
      </c>
      <c r="H117" s="28">
        <f t="shared" si="12"/>
        <v>101349</v>
      </c>
    </row>
    <row r="118" spans="1:8" x14ac:dyDescent="0.35">
      <c r="A118" s="143" t="s">
        <v>19</v>
      </c>
      <c r="B118" s="145" t="s">
        <v>20</v>
      </c>
      <c r="C118" s="26">
        <v>675000</v>
      </c>
      <c r="D118" s="26">
        <v>320000</v>
      </c>
      <c r="E118" s="26">
        <v>250040</v>
      </c>
      <c r="F118" s="23">
        <f t="shared" si="13"/>
        <v>78.137500000000003</v>
      </c>
      <c r="G118" s="26">
        <v>18000</v>
      </c>
      <c r="H118" s="28">
        <f t="shared" si="12"/>
        <v>69960</v>
      </c>
    </row>
    <row r="119" spans="1:8" x14ac:dyDescent="0.35">
      <c r="A119" s="143" t="s">
        <v>21</v>
      </c>
      <c r="B119" s="146" t="s">
        <v>22</v>
      </c>
      <c r="C119" s="26">
        <v>177490</v>
      </c>
      <c r="D119" s="26">
        <v>101370</v>
      </c>
      <c r="E119" s="26">
        <v>10351.540000000001</v>
      </c>
      <c r="F119" s="23">
        <f t="shared" si="13"/>
        <v>10.211640524810102</v>
      </c>
      <c r="G119" s="26">
        <v>8658.16</v>
      </c>
      <c r="H119" s="28">
        <f t="shared" si="12"/>
        <v>91018.459999999992</v>
      </c>
    </row>
    <row r="120" spans="1:8" x14ac:dyDescent="0.35">
      <c r="A120" s="143" t="s">
        <v>23</v>
      </c>
      <c r="B120" s="145" t="s">
        <v>24</v>
      </c>
      <c r="C120" s="26">
        <v>1839100</v>
      </c>
      <c r="D120" s="26">
        <v>1550700</v>
      </c>
      <c r="E120" s="26">
        <v>1249602.25</v>
      </c>
      <c r="F120" s="27">
        <f t="shared" si="11"/>
        <v>80.583107628812783</v>
      </c>
      <c r="G120" s="26">
        <v>343822</v>
      </c>
      <c r="H120" s="28">
        <f t="shared" si="12"/>
        <v>301097.75</v>
      </c>
    </row>
    <row r="121" spans="1:8" x14ac:dyDescent="0.35">
      <c r="A121" s="143"/>
      <c r="B121" s="144" t="s">
        <v>25</v>
      </c>
      <c r="C121" s="17">
        <f>SUM(C122:C123)</f>
        <v>735300</v>
      </c>
      <c r="D121" s="17">
        <f t="shared" ref="D121:E121" si="14">SUM(D122:D123)</f>
        <v>681710</v>
      </c>
      <c r="E121" s="17">
        <f t="shared" si="14"/>
        <v>340602.08999999997</v>
      </c>
      <c r="F121" s="18">
        <f>E121/D121*100</f>
        <v>49.962900646902639</v>
      </c>
      <c r="G121" s="17">
        <f>SUM(G122:G123)</f>
        <v>87987.58</v>
      </c>
      <c r="H121" s="19">
        <f>SUM(H122:H123)</f>
        <v>341107.91000000003</v>
      </c>
    </row>
    <row r="122" spans="1:8" x14ac:dyDescent="0.35">
      <c r="A122" s="143" t="s">
        <v>26</v>
      </c>
      <c r="B122" s="137" t="s">
        <v>27</v>
      </c>
      <c r="C122" s="33">
        <v>360300</v>
      </c>
      <c r="D122" s="33">
        <v>308310</v>
      </c>
      <c r="E122" s="22">
        <v>41555.85</v>
      </c>
      <c r="F122" s="23">
        <f>E122/D122*100</f>
        <v>13.478592974603485</v>
      </c>
      <c r="G122" s="22">
        <v>39039.160000000003</v>
      </c>
      <c r="H122" s="34">
        <f>D122-E122</f>
        <v>266754.15000000002</v>
      </c>
    </row>
    <row r="123" spans="1:8" x14ac:dyDescent="0.35">
      <c r="A123" s="143" t="s">
        <v>28</v>
      </c>
      <c r="B123" s="137" t="s">
        <v>29</v>
      </c>
      <c r="C123" s="33">
        <v>375000</v>
      </c>
      <c r="D123" s="33">
        <v>373400</v>
      </c>
      <c r="E123" s="22">
        <v>299046.24</v>
      </c>
      <c r="F123" s="23">
        <f>E123/D123*100</f>
        <v>80.087370112479917</v>
      </c>
      <c r="G123" s="22">
        <v>48948.42</v>
      </c>
      <c r="H123" s="34">
        <f>D123-E123</f>
        <v>74353.760000000009</v>
      </c>
    </row>
    <row r="124" spans="1:8" x14ac:dyDescent="0.35">
      <c r="A124" s="143"/>
      <c r="B124" s="147" t="s">
        <v>30</v>
      </c>
      <c r="C124" s="9">
        <f>SUM(C125)</f>
        <v>2500000</v>
      </c>
      <c r="D124" s="9">
        <f>SUM(D125)</f>
        <v>1250000</v>
      </c>
      <c r="E124" s="9">
        <f>SUM(E125)</f>
        <v>1250000</v>
      </c>
      <c r="F124" s="10">
        <v>0</v>
      </c>
      <c r="G124" s="9">
        <v>0</v>
      </c>
      <c r="H124" s="11">
        <f>SUM(H125)</f>
        <v>0</v>
      </c>
    </row>
    <row r="125" spans="1:8" x14ac:dyDescent="0.35">
      <c r="A125" s="143" t="s">
        <v>31</v>
      </c>
      <c r="B125" s="137" t="s">
        <v>30</v>
      </c>
      <c r="C125" s="38">
        <v>2500000</v>
      </c>
      <c r="D125" s="38">
        <v>1250000</v>
      </c>
      <c r="E125" s="38">
        <v>1250000</v>
      </c>
      <c r="F125" s="23">
        <v>0</v>
      </c>
      <c r="G125" s="38">
        <v>0</v>
      </c>
      <c r="H125" s="34">
        <f>D125-E125</f>
        <v>0</v>
      </c>
    </row>
    <row r="126" spans="1:8" x14ac:dyDescent="0.35">
      <c r="A126" s="143"/>
      <c r="B126" s="147" t="s">
        <v>32</v>
      </c>
      <c r="C126" s="9">
        <f>SUM(C127:C129)</f>
        <v>8111500</v>
      </c>
      <c r="D126" s="40">
        <f>SUM(D127:D129)</f>
        <v>4722020</v>
      </c>
      <c r="E126" s="40">
        <f>SUM(E127:E129)</f>
        <v>3316502.88</v>
      </c>
      <c r="F126" s="41">
        <f t="shared" ref="F126:F131" si="15">E126/D126*100</f>
        <v>70.234833397571379</v>
      </c>
      <c r="G126" s="40">
        <f>SUM(G127:G129)</f>
        <v>723314.73</v>
      </c>
      <c r="H126" s="11">
        <f>SUM(H127:H129)</f>
        <v>1405517.1199999999</v>
      </c>
    </row>
    <row r="127" spans="1:8" x14ac:dyDescent="0.35">
      <c r="A127" s="143" t="s">
        <v>33</v>
      </c>
      <c r="B127" s="137" t="s">
        <v>34</v>
      </c>
      <c r="C127" s="26">
        <v>2414500</v>
      </c>
      <c r="D127" s="26">
        <v>1788388</v>
      </c>
      <c r="E127" s="26">
        <v>1359267.1</v>
      </c>
      <c r="F127" s="27">
        <f t="shared" si="15"/>
        <v>76.005156599127261</v>
      </c>
      <c r="G127" s="26">
        <v>227631.24</v>
      </c>
      <c r="H127" s="28">
        <f>D127-E127</f>
        <v>429120.89999999991</v>
      </c>
    </row>
    <row r="128" spans="1:8" x14ac:dyDescent="0.35">
      <c r="A128" s="143" t="s">
        <v>35</v>
      </c>
      <c r="B128" s="148" t="s">
        <v>36</v>
      </c>
      <c r="C128" s="26">
        <v>5500000</v>
      </c>
      <c r="D128" s="26">
        <v>2843360</v>
      </c>
      <c r="E128" s="26">
        <v>1934971.75</v>
      </c>
      <c r="F128" s="27">
        <f t="shared" si="15"/>
        <v>68.052295523605878</v>
      </c>
      <c r="G128" s="26">
        <v>494819.49</v>
      </c>
      <c r="H128" s="28">
        <f>D128-E128</f>
        <v>908388.25</v>
      </c>
    </row>
    <row r="129" spans="1:8" x14ac:dyDescent="0.35">
      <c r="A129" s="143" t="s">
        <v>37</v>
      </c>
      <c r="B129" s="149" t="s">
        <v>38</v>
      </c>
      <c r="C129" s="138">
        <v>197000</v>
      </c>
      <c r="D129" s="26">
        <v>90272</v>
      </c>
      <c r="E129" s="26">
        <v>22264.03</v>
      </c>
      <c r="F129" s="27">
        <f t="shared" si="15"/>
        <v>24.663273218716768</v>
      </c>
      <c r="G129" s="26">
        <v>864</v>
      </c>
      <c r="H129" s="28">
        <f>D129-E129</f>
        <v>68007.97</v>
      </c>
    </row>
    <row r="130" spans="1:8" x14ac:dyDescent="0.35">
      <c r="A130" s="1"/>
      <c r="B130" s="150" t="s">
        <v>39</v>
      </c>
      <c r="C130" s="140">
        <f>SUM(C131:C133)</f>
        <v>2080400</v>
      </c>
      <c r="D130" s="40">
        <f>SUM(D131:D133)</f>
        <v>1013549</v>
      </c>
      <c r="E130" s="40">
        <f>SUM(E131:E133)</f>
        <v>426222.06</v>
      </c>
      <c r="F130" s="41">
        <f t="shared" si="15"/>
        <v>42.052437523987493</v>
      </c>
      <c r="G130" s="40">
        <f>SUM(G131:G133)</f>
        <v>34861.050000000003</v>
      </c>
      <c r="H130" s="52">
        <f>SUM(H131:H133)</f>
        <v>587326.93999999994</v>
      </c>
    </row>
    <row r="131" spans="1:8" x14ac:dyDescent="0.35">
      <c r="A131" s="1" t="s">
        <v>40</v>
      </c>
      <c r="B131" s="14" t="s">
        <v>41</v>
      </c>
      <c r="C131" s="65">
        <v>1855750</v>
      </c>
      <c r="D131" s="38">
        <v>852899</v>
      </c>
      <c r="E131" s="38">
        <v>425549.31</v>
      </c>
      <c r="F131" s="27">
        <f t="shared" si="15"/>
        <v>49.894455263753386</v>
      </c>
      <c r="G131" s="38">
        <v>34861.050000000003</v>
      </c>
      <c r="H131" s="55">
        <f>D131-E131</f>
        <v>427349.69</v>
      </c>
    </row>
    <row r="132" spans="1:8" x14ac:dyDescent="0.35">
      <c r="A132" s="1" t="s">
        <v>42</v>
      </c>
      <c r="B132" s="151" t="s">
        <v>43</v>
      </c>
      <c r="C132" s="65">
        <v>74650</v>
      </c>
      <c r="D132" s="38">
        <v>10650</v>
      </c>
      <c r="E132" s="38">
        <v>672.75</v>
      </c>
      <c r="F132" s="27">
        <f t="shared" ref="F132:F133" si="16">E132/D132*100</f>
        <v>6.316901408450704</v>
      </c>
      <c r="G132" s="38">
        <v>0</v>
      </c>
      <c r="H132" s="55">
        <f>D132-E132</f>
        <v>9977.25</v>
      </c>
    </row>
    <row r="133" spans="1:8" x14ac:dyDescent="0.35">
      <c r="A133" s="152" t="s">
        <v>44</v>
      </c>
      <c r="B133" s="153" t="s">
        <v>45</v>
      </c>
      <c r="C133" s="139">
        <v>150000</v>
      </c>
      <c r="D133" s="46">
        <v>150000</v>
      </c>
      <c r="E133" s="46">
        <v>0</v>
      </c>
      <c r="F133" s="31">
        <f t="shared" si="16"/>
        <v>0</v>
      </c>
      <c r="G133" s="46">
        <v>0</v>
      </c>
      <c r="H133" s="59">
        <f>D133-E133</f>
        <v>150000</v>
      </c>
    </row>
    <row r="134" spans="1:8" x14ac:dyDescent="0.35">
      <c r="A134" s="143"/>
      <c r="B134" s="147" t="s">
        <v>46</v>
      </c>
      <c r="C134" s="141">
        <f>SUM(C135:C138)</f>
        <v>5900900</v>
      </c>
      <c r="D134" s="9">
        <f>SUM(D135:D138)</f>
        <v>5395490</v>
      </c>
      <c r="E134" s="61">
        <f>SUM(E135:E138)</f>
        <v>4362733.25</v>
      </c>
      <c r="F134" s="10">
        <f>E134/D134*100</f>
        <v>80.858888627353593</v>
      </c>
      <c r="G134" s="9">
        <f>SUM(G135:G138)</f>
        <v>116365.83</v>
      </c>
      <c r="H134" s="11">
        <f>SUM(H135:H138)</f>
        <v>1032756.75</v>
      </c>
    </row>
    <row r="135" spans="1:8" x14ac:dyDescent="0.35">
      <c r="A135" s="143" t="s">
        <v>47</v>
      </c>
      <c r="B135" s="145" t="s">
        <v>48</v>
      </c>
      <c r="C135" s="64">
        <v>3600000</v>
      </c>
      <c r="D135" s="38">
        <v>3600000</v>
      </c>
      <c r="E135" s="55">
        <v>3600000</v>
      </c>
      <c r="F135" s="27">
        <v>0</v>
      </c>
      <c r="G135" s="63">
        <v>0</v>
      </c>
      <c r="H135" s="28">
        <f>D135-E135</f>
        <v>0</v>
      </c>
    </row>
    <row r="136" spans="1:8" x14ac:dyDescent="0.35">
      <c r="A136" s="143" t="s">
        <v>49</v>
      </c>
      <c r="B136" s="137" t="s">
        <v>50</v>
      </c>
      <c r="C136" s="64">
        <v>150100</v>
      </c>
      <c r="D136" s="38">
        <v>86805</v>
      </c>
      <c r="E136" s="64">
        <v>15037.15</v>
      </c>
      <c r="F136" s="27">
        <f>E136/D136*100</f>
        <v>17.322907666609066</v>
      </c>
      <c r="G136" s="65">
        <v>9191.66</v>
      </c>
      <c r="H136" s="28">
        <f>D136-E136</f>
        <v>71767.850000000006</v>
      </c>
    </row>
    <row r="137" spans="1:8" x14ac:dyDescent="0.35">
      <c r="A137" s="143" t="s">
        <v>51</v>
      </c>
      <c r="B137" s="137" t="s">
        <v>52</v>
      </c>
      <c r="C137" s="64">
        <v>1121800</v>
      </c>
      <c r="D137" s="38">
        <v>714085</v>
      </c>
      <c r="E137" s="64">
        <v>403503.57</v>
      </c>
      <c r="F137" s="27">
        <f>E137/D137*100</f>
        <v>56.506378092243928</v>
      </c>
      <c r="G137" s="38">
        <v>103790.04</v>
      </c>
      <c r="H137" s="28">
        <f>D137-E137</f>
        <v>310581.43</v>
      </c>
    </row>
    <row r="138" spans="1:8" x14ac:dyDescent="0.35">
      <c r="A138" s="143" t="s">
        <v>53</v>
      </c>
      <c r="B138" s="137" t="s">
        <v>54</v>
      </c>
      <c r="C138" s="64">
        <v>1029000</v>
      </c>
      <c r="D138" s="38">
        <v>994600</v>
      </c>
      <c r="E138" s="63">
        <v>344192.53</v>
      </c>
      <c r="F138" s="27">
        <f>E138/D138*100</f>
        <v>34.606126080836518</v>
      </c>
      <c r="G138" s="38">
        <v>3384.13</v>
      </c>
      <c r="H138" s="28">
        <f>D138-E138</f>
        <v>650407.47</v>
      </c>
    </row>
    <row r="139" spans="1:8" x14ac:dyDescent="0.35">
      <c r="A139" s="143"/>
      <c r="B139" s="147" t="s">
        <v>55</v>
      </c>
      <c r="C139" s="9">
        <f>SUM(C140)</f>
        <v>812900</v>
      </c>
      <c r="D139" s="9">
        <f>SUM(D140)</f>
        <v>568198</v>
      </c>
      <c r="E139" s="61">
        <f>SUM(E140)</f>
        <v>241434.05</v>
      </c>
      <c r="F139" s="10">
        <f t="shared" ref="F139" si="17">E139/D139*100</f>
        <v>42.491182651118095</v>
      </c>
      <c r="G139" s="9">
        <f>SUM(G140)</f>
        <v>25128.15</v>
      </c>
      <c r="H139" s="11">
        <f>SUM(H140)</f>
        <v>326763.95</v>
      </c>
    </row>
    <row r="140" spans="1:8" x14ac:dyDescent="0.35">
      <c r="A140" s="143" t="s">
        <v>56</v>
      </c>
      <c r="B140" s="145" t="s">
        <v>57</v>
      </c>
      <c r="C140" s="38">
        <v>812900</v>
      </c>
      <c r="D140" s="38">
        <v>568198</v>
      </c>
      <c r="E140" s="63">
        <v>241434.05</v>
      </c>
      <c r="F140" s="27">
        <f>E140/D140*100</f>
        <v>42.491182651118095</v>
      </c>
      <c r="G140" s="38">
        <v>25128.15</v>
      </c>
      <c r="H140" s="28">
        <f>D140-E140</f>
        <v>326763.95</v>
      </c>
    </row>
    <row r="141" spans="1:8" x14ac:dyDescent="0.35">
      <c r="A141" s="143"/>
      <c r="B141" s="147" t="s">
        <v>58</v>
      </c>
      <c r="C141" s="9">
        <f>SUM(C142:C143)</f>
        <v>12064700</v>
      </c>
      <c r="D141" s="9">
        <f>SUM(D142:D143)</f>
        <v>6832538</v>
      </c>
      <c r="E141" s="9">
        <f>SUM(E142:E143)</f>
        <v>1776164.77</v>
      </c>
      <c r="F141" s="10">
        <f>E141/D141*100</f>
        <v>25.9956808143621</v>
      </c>
      <c r="G141" s="9">
        <f>SUM(G142:G143)</f>
        <v>745211.44</v>
      </c>
      <c r="H141" s="11">
        <f>SUM(H142:H143)</f>
        <v>5056373.2299999995</v>
      </c>
    </row>
    <row r="142" spans="1:8" x14ac:dyDescent="0.35">
      <c r="A142" s="143" t="s">
        <v>59</v>
      </c>
      <c r="B142" s="146" t="s">
        <v>60</v>
      </c>
      <c r="C142" s="68">
        <f>232113+9392937</f>
        <v>9625050</v>
      </c>
      <c r="D142" s="68">
        <f>232113+5348492</f>
        <v>5580605</v>
      </c>
      <c r="E142" s="69">
        <f>59501.92+1424642.74</f>
        <v>1484144.66</v>
      </c>
      <c r="F142" s="70">
        <f>E142/D142*100</f>
        <v>26.594691077401105</v>
      </c>
      <c r="G142" s="69">
        <f>8288.12+571931.5</f>
        <v>580219.62</v>
      </c>
      <c r="H142" s="28">
        <f>D142-E142</f>
        <v>4096460.34</v>
      </c>
    </row>
    <row r="143" spans="1:8" ht="15" thickBot="1" x14ac:dyDescent="0.4">
      <c r="A143" s="154" t="s">
        <v>61</v>
      </c>
      <c r="B143" s="155" t="s">
        <v>60</v>
      </c>
      <c r="C143" s="74">
        <v>2439650</v>
      </c>
      <c r="D143" s="74">
        <v>1251933</v>
      </c>
      <c r="E143" s="75">
        <v>292020.11</v>
      </c>
      <c r="F143" s="76">
        <f>E143/D143*100</f>
        <v>23.325538187746467</v>
      </c>
      <c r="G143" s="75">
        <v>164991.82</v>
      </c>
      <c r="H143" s="77">
        <f>D143-E143</f>
        <v>959912.89</v>
      </c>
    </row>
    <row r="145" spans="1:9" ht="15" thickBot="1" x14ac:dyDescent="0.4"/>
    <row r="146" spans="1:9" ht="15" thickBot="1" x14ac:dyDescent="0.4">
      <c r="A146" s="205" t="s">
        <v>66</v>
      </c>
      <c r="B146" s="198"/>
      <c r="C146" s="198"/>
      <c r="D146" s="198"/>
      <c r="E146" s="198"/>
      <c r="F146" s="198"/>
      <c r="G146" s="198"/>
      <c r="H146" s="198"/>
      <c r="I146" s="199"/>
    </row>
    <row r="147" spans="1:9" ht="58" x14ac:dyDescent="0.35">
      <c r="A147" s="2" t="s">
        <v>0</v>
      </c>
      <c r="B147" s="3" t="s">
        <v>1</v>
      </c>
      <c r="C147" s="4" t="s">
        <v>2</v>
      </c>
      <c r="D147" s="4" t="s">
        <v>3</v>
      </c>
      <c r="E147" s="4" t="s">
        <v>4</v>
      </c>
      <c r="F147" s="3" t="s">
        <v>5</v>
      </c>
      <c r="G147" s="3" t="s">
        <v>67</v>
      </c>
      <c r="H147" s="3" t="s">
        <v>68</v>
      </c>
      <c r="I147" s="5" t="s">
        <v>69</v>
      </c>
    </row>
    <row r="148" spans="1:9" x14ac:dyDescent="0.35">
      <c r="A148" s="156" t="s">
        <v>8</v>
      </c>
      <c r="B148" s="157" t="s">
        <v>9</v>
      </c>
      <c r="C148" s="9">
        <f>C149+C157+C160+C162+C166+C170+C175+C177</f>
        <v>43689200</v>
      </c>
      <c r="D148" s="9">
        <f>D149+D157+D160+D162+D166+D170+D175+D177</f>
        <v>32923459</v>
      </c>
      <c r="E148" s="9">
        <f>E149+E157+E160+E162+E166+E170+E175+E177</f>
        <v>18915034.779999997</v>
      </c>
      <c r="F148" s="10">
        <f>E148/D148*100</f>
        <v>57.451541710729714</v>
      </c>
      <c r="G148" s="9">
        <f>G149+G157+G160+G162+G166+G170+G175+G177</f>
        <v>5996638.7599999998</v>
      </c>
      <c r="H148" s="9">
        <f>H149+H157+H160+H162+H166+H170+H175+H177</f>
        <v>3966040.46</v>
      </c>
      <c r="I148" s="11">
        <f>I149+I157+I160+I162+I166+I170+I175+I177</f>
        <v>14008424.219999999</v>
      </c>
    </row>
    <row r="149" spans="1:9" x14ac:dyDescent="0.35">
      <c r="A149" s="1"/>
      <c r="B149" s="159" t="s">
        <v>10</v>
      </c>
      <c r="C149" s="17">
        <f>SUM(C150:C156)</f>
        <v>11633500</v>
      </c>
      <c r="D149" s="17">
        <f>SUM(D150:D156)</f>
        <v>7305075</v>
      </c>
      <c r="E149" s="17">
        <f>SUM(E150:E156)</f>
        <v>5394518.7699999996</v>
      </c>
      <c r="F149" s="18">
        <f t="shared" ref="F149:F156" si="18">E149/D149*100</f>
        <v>73.846179128893269</v>
      </c>
      <c r="G149" s="18">
        <f>SUM(G150:G156)</f>
        <v>1771653.87</v>
      </c>
      <c r="H149" s="17">
        <f>SUM(H150:H156)</f>
        <v>1486125.6099999999</v>
      </c>
      <c r="I149" s="19">
        <f>SUM(I150:I156)</f>
        <v>1910556.23</v>
      </c>
    </row>
    <row r="150" spans="1:9" x14ac:dyDescent="0.35">
      <c r="A150" s="1" t="s">
        <v>11</v>
      </c>
      <c r="B150" s="160" t="s">
        <v>12</v>
      </c>
      <c r="C150" s="22">
        <v>5150000</v>
      </c>
      <c r="D150" s="22">
        <v>2650000</v>
      </c>
      <c r="E150" s="22">
        <v>2500000</v>
      </c>
      <c r="F150" s="23">
        <f>E150/D150*100</f>
        <v>94.339622641509436</v>
      </c>
      <c r="G150" s="23">
        <v>0</v>
      </c>
      <c r="H150" s="22">
        <v>0</v>
      </c>
      <c r="I150" s="24">
        <f t="shared" ref="I150:I156" si="19">D150-E150</f>
        <v>150000</v>
      </c>
    </row>
    <row r="151" spans="1:9" x14ac:dyDescent="0.35">
      <c r="A151" s="1" t="s">
        <v>13</v>
      </c>
      <c r="B151" s="160" t="s">
        <v>14</v>
      </c>
      <c r="C151" s="26">
        <v>2791910</v>
      </c>
      <c r="D151" s="26">
        <v>1423410</v>
      </c>
      <c r="E151" s="26">
        <v>463943.69</v>
      </c>
      <c r="F151" s="23">
        <f t="shared" ref="F151:F155" si="20">E151/D151*100</f>
        <v>32.593819770832013</v>
      </c>
      <c r="G151" s="23">
        <v>321260.71000000002</v>
      </c>
      <c r="H151" s="26">
        <v>286211.45</v>
      </c>
      <c r="I151" s="28">
        <f t="shared" si="19"/>
        <v>959466.31</v>
      </c>
    </row>
    <row r="152" spans="1:9" x14ac:dyDescent="0.35">
      <c r="A152" s="1" t="s">
        <v>15</v>
      </c>
      <c r="B152" s="160" t="s">
        <v>16</v>
      </c>
      <c r="C152" s="26">
        <v>500000</v>
      </c>
      <c r="D152" s="26">
        <v>500000</v>
      </c>
      <c r="E152" s="26">
        <v>500000</v>
      </c>
      <c r="F152" s="23">
        <f t="shared" si="20"/>
        <v>100</v>
      </c>
      <c r="G152" s="23">
        <v>500000</v>
      </c>
      <c r="H152" s="26">
        <v>500000</v>
      </c>
      <c r="I152" s="28">
        <f t="shared" si="19"/>
        <v>0</v>
      </c>
    </row>
    <row r="153" spans="1:9" x14ac:dyDescent="0.35">
      <c r="A153" s="1" t="s">
        <v>17</v>
      </c>
      <c r="B153" s="160" t="s">
        <v>18</v>
      </c>
      <c r="C153" s="26">
        <v>500000</v>
      </c>
      <c r="D153" s="26">
        <v>497500</v>
      </c>
      <c r="E153" s="26">
        <v>346151</v>
      </c>
      <c r="F153" s="23">
        <f t="shared" si="20"/>
        <v>69.578090452261307</v>
      </c>
      <c r="G153" s="23">
        <v>201395</v>
      </c>
      <c r="H153" s="26">
        <v>35847</v>
      </c>
      <c r="I153" s="28">
        <f t="shared" si="19"/>
        <v>151349</v>
      </c>
    </row>
    <row r="154" spans="1:9" x14ac:dyDescent="0.35">
      <c r="A154" s="1" t="s">
        <v>19</v>
      </c>
      <c r="B154" s="160" t="s">
        <v>20</v>
      </c>
      <c r="C154" s="26">
        <v>675000</v>
      </c>
      <c r="D154" s="26">
        <v>522500</v>
      </c>
      <c r="E154" s="26">
        <v>323040</v>
      </c>
      <c r="F154" s="23">
        <f t="shared" si="20"/>
        <v>61.825837320574159</v>
      </c>
      <c r="G154" s="23">
        <v>197712.37</v>
      </c>
      <c r="H154" s="26">
        <v>137535</v>
      </c>
      <c r="I154" s="28">
        <f t="shared" si="19"/>
        <v>199460</v>
      </c>
    </row>
    <row r="155" spans="1:9" x14ac:dyDescent="0.35">
      <c r="A155" s="1" t="s">
        <v>21</v>
      </c>
      <c r="B155" s="161" t="s">
        <v>22</v>
      </c>
      <c r="C155" s="26">
        <v>177490</v>
      </c>
      <c r="D155" s="26">
        <v>129915</v>
      </c>
      <c r="E155" s="26">
        <v>11781.83</v>
      </c>
      <c r="F155" s="23">
        <f t="shared" si="20"/>
        <v>9.0688758034099219</v>
      </c>
      <c r="G155" s="23">
        <v>10583.54</v>
      </c>
      <c r="H155" s="26">
        <v>9210.16</v>
      </c>
      <c r="I155" s="28">
        <f t="shared" si="19"/>
        <v>118133.17</v>
      </c>
    </row>
    <row r="156" spans="1:9" x14ac:dyDescent="0.35">
      <c r="A156" s="1" t="s">
        <v>23</v>
      </c>
      <c r="B156" s="160" t="s">
        <v>24</v>
      </c>
      <c r="C156" s="26">
        <v>1839100</v>
      </c>
      <c r="D156" s="26">
        <v>1581750</v>
      </c>
      <c r="E156" s="26">
        <v>1249602.25</v>
      </c>
      <c r="F156" s="27">
        <f t="shared" si="18"/>
        <v>79.001248617038087</v>
      </c>
      <c r="G156" s="27">
        <v>540702.25</v>
      </c>
      <c r="H156" s="26">
        <v>517322</v>
      </c>
      <c r="I156" s="28">
        <f t="shared" si="19"/>
        <v>332147.75</v>
      </c>
    </row>
    <row r="157" spans="1:9" x14ac:dyDescent="0.35">
      <c r="A157" s="1"/>
      <c r="B157" s="159" t="s">
        <v>25</v>
      </c>
      <c r="C157" s="17">
        <f>SUM(C158:C159)</f>
        <v>775670</v>
      </c>
      <c r="D157" s="17">
        <f t="shared" ref="D157:E157" si="21">SUM(D158:D159)</f>
        <v>774670</v>
      </c>
      <c r="E157" s="17">
        <f t="shared" si="21"/>
        <v>340602.08999999997</v>
      </c>
      <c r="F157" s="18">
        <f>E157/D157*100</f>
        <v>43.967378367562958</v>
      </c>
      <c r="G157" s="18">
        <f>SUM(G158:G159)</f>
        <v>90604.26999999999</v>
      </c>
      <c r="H157" s="17">
        <f>SUM(H158:H159)</f>
        <v>88087.58</v>
      </c>
      <c r="I157" s="19">
        <f>SUM(I158:I159)</f>
        <v>434067.91000000003</v>
      </c>
    </row>
    <row r="158" spans="1:9" x14ac:dyDescent="0.35">
      <c r="A158" s="1" t="s">
        <v>26</v>
      </c>
      <c r="B158" s="158" t="s">
        <v>27</v>
      </c>
      <c r="C158" s="33">
        <v>400670</v>
      </c>
      <c r="D158" s="33">
        <v>400670</v>
      </c>
      <c r="E158" s="22">
        <v>41555.85</v>
      </c>
      <c r="F158" s="23">
        <f>E158/D158*100</f>
        <v>10.371590086604936</v>
      </c>
      <c r="G158" s="23">
        <v>41555.85</v>
      </c>
      <c r="H158" s="22">
        <v>39039.160000000003</v>
      </c>
      <c r="I158" s="34">
        <f>D158-E158</f>
        <v>359114.15</v>
      </c>
    </row>
    <row r="159" spans="1:9" x14ac:dyDescent="0.35">
      <c r="A159" s="1" t="s">
        <v>28</v>
      </c>
      <c r="B159" s="158" t="s">
        <v>29</v>
      </c>
      <c r="C159" s="33">
        <v>375000</v>
      </c>
      <c r="D159" s="33">
        <v>374000</v>
      </c>
      <c r="E159" s="22">
        <v>299046.24</v>
      </c>
      <c r="F159" s="23">
        <f>E159/D159*100</f>
        <v>79.95888770053476</v>
      </c>
      <c r="G159" s="23">
        <v>49048.42</v>
      </c>
      <c r="H159" s="22">
        <v>49048.42</v>
      </c>
      <c r="I159" s="34">
        <f>D159-E159</f>
        <v>74953.760000000009</v>
      </c>
    </row>
    <row r="160" spans="1:9" x14ac:dyDescent="0.35">
      <c r="A160" s="1"/>
      <c r="B160" s="162" t="s">
        <v>30</v>
      </c>
      <c r="C160" s="9">
        <f>SUM(C161)</f>
        <v>2500000</v>
      </c>
      <c r="D160" s="9">
        <f>SUM(D161)</f>
        <v>1250000</v>
      </c>
      <c r="E160" s="9">
        <f>SUM(E161)</f>
        <v>1250000</v>
      </c>
      <c r="F160" s="10">
        <v>0</v>
      </c>
      <c r="G160" s="10">
        <f>SUM(G161)</f>
        <v>0</v>
      </c>
      <c r="H160" s="9">
        <v>0</v>
      </c>
      <c r="I160" s="11">
        <f>SUM(I161)</f>
        <v>0</v>
      </c>
    </row>
    <row r="161" spans="1:9" x14ac:dyDescent="0.35">
      <c r="A161" s="1" t="s">
        <v>31</v>
      </c>
      <c r="B161" s="158" t="s">
        <v>30</v>
      </c>
      <c r="C161" s="38">
        <v>2500000</v>
      </c>
      <c r="D161" s="38">
        <v>1250000</v>
      </c>
      <c r="E161" s="38">
        <v>1250000</v>
      </c>
      <c r="F161" s="23">
        <v>0</v>
      </c>
      <c r="G161" s="23">
        <v>0</v>
      </c>
      <c r="H161" s="38">
        <v>0</v>
      </c>
      <c r="I161" s="34">
        <f>D161-E161</f>
        <v>0</v>
      </c>
    </row>
    <row r="162" spans="1:9" x14ac:dyDescent="0.35">
      <c r="A162" s="1"/>
      <c r="B162" s="162" t="s">
        <v>32</v>
      </c>
      <c r="C162" s="9">
        <f>SUM(C163:C165)</f>
        <v>8078892</v>
      </c>
      <c r="D162" s="40">
        <f>SUM(D163:D165)</f>
        <v>6151284</v>
      </c>
      <c r="E162" s="40">
        <f>SUM(E163:E165)</f>
        <v>3857989.54</v>
      </c>
      <c r="F162" s="41">
        <f t="shared" ref="F162:F167" si="22">E162/D162*100</f>
        <v>62.718442848680041</v>
      </c>
      <c r="G162" s="41">
        <f>SUM(G163:G165)</f>
        <v>1599687.2</v>
      </c>
      <c r="H162" s="40">
        <f>SUM(H163:H165)</f>
        <v>1067919.1500000001</v>
      </c>
      <c r="I162" s="11">
        <f>SUM(I163:I165)</f>
        <v>2293294.46</v>
      </c>
    </row>
    <row r="163" spans="1:9" x14ac:dyDescent="0.35">
      <c r="A163" s="1" t="s">
        <v>33</v>
      </c>
      <c r="B163" s="158" t="s">
        <v>34</v>
      </c>
      <c r="C163" s="26">
        <v>2414500</v>
      </c>
      <c r="D163" s="26">
        <v>2307513</v>
      </c>
      <c r="E163" s="26">
        <v>1384713.02</v>
      </c>
      <c r="F163" s="27">
        <f t="shared" si="22"/>
        <v>60.008893557696098</v>
      </c>
      <c r="G163" s="27">
        <v>620216.25</v>
      </c>
      <c r="H163" s="26">
        <v>279719.03000000003</v>
      </c>
      <c r="I163" s="28">
        <f>D163-E163</f>
        <v>922799.98</v>
      </c>
    </row>
    <row r="164" spans="1:9" x14ac:dyDescent="0.35">
      <c r="A164" s="1" t="s">
        <v>35</v>
      </c>
      <c r="B164" s="163" t="s">
        <v>36</v>
      </c>
      <c r="C164" s="26">
        <v>5499892</v>
      </c>
      <c r="D164" s="26">
        <v>3680271</v>
      </c>
      <c r="E164" s="26">
        <v>2440826.5699999998</v>
      </c>
      <c r="F164" s="27">
        <f t="shared" si="22"/>
        <v>66.321924934332273</v>
      </c>
      <c r="G164" s="27">
        <v>959966.84</v>
      </c>
      <c r="H164" s="26">
        <v>771596.01</v>
      </c>
      <c r="I164" s="28">
        <f>D164-E164</f>
        <v>1239444.4300000002</v>
      </c>
    </row>
    <row r="165" spans="1:9" x14ac:dyDescent="0.35">
      <c r="A165" s="1" t="s">
        <v>37</v>
      </c>
      <c r="B165" s="164" t="s">
        <v>38</v>
      </c>
      <c r="C165" s="138">
        <v>164500</v>
      </c>
      <c r="D165" s="26">
        <v>163500</v>
      </c>
      <c r="E165" s="26">
        <v>32449.95</v>
      </c>
      <c r="F165" s="27">
        <f t="shared" si="22"/>
        <v>19.847064220183487</v>
      </c>
      <c r="G165" s="27">
        <v>19504.11</v>
      </c>
      <c r="H165" s="26">
        <v>16604.11</v>
      </c>
      <c r="I165" s="28">
        <f>D165-E165</f>
        <v>131050.05</v>
      </c>
    </row>
    <row r="166" spans="1:9" x14ac:dyDescent="0.35">
      <c r="A166" s="1"/>
      <c r="B166" s="165" t="s">
        <v>39</v>
      </c>
      <c r="C166" s="140">
        <f>SUM(C167:C169)</f>
        <v>2070138</v>
      </c>
      <c r="D166" s="40">
        <f>SUM(D167:D169)</f>
        <v>1606595</v>
      </c>
      <c r="E166" s="40">
        <f>SUM(E167:E169)</f>
        <v>751572.99</v>
      </c>
      <c r="F166" s="41">
        <f t="shared" si="22"/>
        <v>46.780488548763067</v>
      </c>
      <c r="G166" s="41">
        <f>SUM(G167:G169)</f>
        <v>295606.03999999998</v>
      </c>
      <c r="H166" s="40">
        <f>SUM(H167:H169)</f>
        <v>212603.08</v>
      </c>
      <c r="I166" s="166">
        <f>SUM(I167:I169)</f>
        <v>855022.01</v>
      </c>
    </row>
    <row r="167" spans="1:9" x14ac:dyDescent="0.35">
      <c r="A167" s="1" t="s">
        <v>40</v>
      </c>
      <c r="B167" s="1" t="s">
        <v>41</v>
      </c>
      <c r="C167" s="65">
        <v>1855858</v>
      </c>
      <c r="D167" s="38">
        <v>1432315</v>
      </c>
      <c r="E167" s="38">
        <v>749133.58</v>
      </c>
      <c r="F167" s="27">
        <f t="shared" si="22"/>
        <v>52.302292442654021</v>
      </c>
      <c r="G167" s="27">
        <v>295206.03999999998</v>
      </c>
      <c r="H167" s="38">
        <v>212603.08</v>
      </c>
      <c r="I167" s="167">
        <f>D167-E167</f>
        <v>683181.42</v>
      </c>
    </row>
    <row r="168" spans="1:9" x14ac:dyDescent="0.35">
      <c r="A168" s="1" t="s">
        <v>42</v>
      </c>
      <c r="B168" s="152" t="s">
        <v>43</v>
      </c>
      <c r="C168" s="65">
        <v>64280</v>
      </c>
      <c r="D168" s="38">
        <v>24280</v>
      </c>
      <c r="E168" s="38">
        <v>2439.41</v>
      </c>
      <c r="F168" s="27">
        <f t="shared" ref="F168" si="23">E168/D168*100</f>
        <v>10.046993410214169</v>
      </c>
      <c r="G168" s="27">
        <v>400</v>
      </c>
      <c r="H168" s="38">
        <v>0</v>
      </c>
      <c r="I168" s="167">
        <f>D168-E168</f>
        <v>21840.59</v>
      </c>
    </row>
    <row r="169" spans="1:9" x14ac:dyDescent="0.35">
      <c r="A169" s="152" t="s">
        <v>44</v>
      </c>
      <c r="B169" s="168" t="s">
        <v>45</v>
      </c>
      <c r="C169" s="139">
        <v>150000</v>
      </c>
      <c r="D169" s="46">
        <v>150000</v>
      </c>
      <c r="E169" s="46"/>
      <c r="F169" s="31"/>
      <c r="G169" s="31"/>
      <c r="H169" s="46"/>
      <c r="I169" s="66">
        <f>D169-E169</f>
        <v>150000</v>
      </c>
    </row>
    <row r="170" spans="1:9" x14ac:dyDescent="0.35">
      <c r="A170" s="1"/>
      <c r="B170" s="162" t="s">
        <v>46</v>
      </c>
      <c r="C170" s="141">
        <f>SUM(C171:C174)</f>
        <v>5853400</v>
      </c>
      <c r="D170" s="9">
        <f>SUM(D171:D174)</f>
        <v>5648525</v>
      </c>
      <c r="E170" s="61">
        <f>SUM(E171:E174)</f>
        <v>4499383.8899999997</v>
      </c>
      <c r="F170" s="10">
        <f>E170/D170*100</f>
        <v>79.655908223828348</v>
      </c>
      <c r="G170" s="10">
        <f>SUM(G171:G174)</f>
        <v>1029675.38</v>
      </c>
      <c r="H170" s="9">
        <f>SUM(H171:H174)</f>
        <v>138559.74</v>
      </c>
      <c r="I170" s="11">
        <f>SUM(I171:I174)</f>
        <v>1149141.1099999999</v>
      </c>
    </row>
    <row r="171" spans="1:9" x14ac:dyDescent="0.35">
      <c r="A171" s="1" t="s">
        <v>47</v>
      </c>
      <c r="B171" s="160" t="s">
        <v>48</v>
      </c>
      <c r="C171" s="64">
        <v>3600000</v>
      </c>
      <c r="D171" s="38">
        <v>3600000</v>
      </c>
      <c r="E171" s="55">
        <v>3600000</v>
      </c>
      <c r="F171" s="27">
        <v>0</v>
      </c>
      <c r="G171" s="169">
        <v>720000</v>
      </c>
      <c r="H171" s="63">
        <v>0</v>
      </c>
      <c r="I171" s="28">
        <f>D171-E171</f>
        <v>0</v>
      </c>
    </row>
    <row r="172" spans="1:9" x14ac:dyDescent="0.35">
      <c r="A172" s="1" t="s">
        <v>49</v>
      </c>
      <c r="B172" s="158" t="s">
        <v>50</v>
      </c>
      <c r="C172" s="64">
        <v>132600</v>
      </c>
      <c r="D172" s="38">
        <v>108350</v>
      </c>
      <c r="E172" s="64">
        <v>20483.150000000001</v>
      </c>
      <c r="F172" s="27">
        <f>E172/D172*100</f>
        <v>18.904614674665439</v>
      </c>
      <c r="G172" s="170">
        <v>17957.55</v>
      </c>
      <c r="H172" s="65">
        <v>15434.55</v>
      </c>
      <c r="I172" s="28">
        <f>D172-E172</f>
        <v>87866.85</v>
      </c>
    </row>
    <row r="173" spans="1:9" x14ac:dyDescent="0.35">
      <c r="A173" s="1" t="s">
        <v>51</v>
      </c>
      <c r="B173" s="158" t="s">
        <v>52</v>
      </c>
      <c r="C173" s="64">
        <v>1091800</v>
      </c>
      <c r="D173" s="38">
        <v>928325</v>
      </c>
      <c r="E173" s="64">
        <v>440510.6</v>
      </c>
      <c r="F173" s="27">
        <f>E173/D173*100</f>
        <v>47.452196159750088</v>
      </c>
      <c r="G173" s="27">
        <v>232594.13</v>
      </c>
      <c r="H173" s="38">
        <v>111867.19</v>
      </c>
      <c r="I173" s="28">
        <f>D173-E173</f>
        <v>487814.40000000002</v>
      </c>
    </row>
    <row r="174" spans="1:9" x14ac:dyDescent="0.35">
      <c r="A174" s="1" t="s">
        <v>53</v>
      </c>
      <c r="B174" s="158" t="s">
        <v>54</v>
      </c>
      <c r="C174" s="64">
        <v>1029000</v>
      </c>
      <c r="D174" s="38">
        <v>1011850</v>
      </c>
      <c r="E174" s="63">
        <v>438390.14</v>
      </c>
      <c r="F174" s="27">
        <f>E174/D174*100</f>
        <v>43.325605573948714</v>
      </c>
      <c r="G174" s="27">
        <v>59123.7</v>
      </c>
      <c r="H174" s="38">
        <v>11258</v>
      </c>
      <c r="I174" s="28">
        <f>D174-E174</f>
        <v>573459.86</v>
      </c>
    </row>
    <row r="175" spans="1:9" x14ac:dyDescent="0.35">
      <c r="A175" s="1"/>
      <c r="B175" s="162" t="s">
        <v>55</v>
      </c>
      <c r="C175" s="9">
        <f>SUM(C176)</f>
        <v>712900</v>
      </c>
      <c r="D175" s="9">
        <f>SUM(D176)</f>
        <v>667208</v>
      </c>
      <c r="E175" s="61">
        <f>SUM(E176)</f>
        <v>309705.08</v>
      </c>
      <c r="F175" s="10">
        <f t="shared" ref="F175" si="24">E175/D175*100</f>
        <v>46.418070526732294</v>
      </c>
      <c r="G175" s="10">
        <f>SUM(G176)</f>
        <v>174919.12</v>
      </c>
      <c r="H175" s="9">
        <f>SUM(H176)</f>
        <v>152776.51</v>
      </c>
      <c r="I175" s="11">
        <f>SUM(I176)</f>
        <v>357502.92</v>
      </c>
    </row>
    <row r="176" spans="1:9" x14ac:dyDescent="0.35">
      <c r="A176" s="1" t="s">
        <v>56</v>
      </c>
      <c r="B176" s="160" t="s">
        <v>57</v>
      </c>
      <c r="C176" s="38">
        <v>712900</v>
      </c>
      <c r="D176" s="38">
        <v>667208</v>
      </c>
      <c r="E176" s="63">
        <v>309705.08</v>
      </c>
      <c r="F176" s="27">
        <f>E176/D176*100</f>
        <v>46.418070526732294</v>
      </c>
      <c r="G176" s="27">
        <v>174919.12</v>
      </c>
      <c r="H176" s="38">
        <v>152776.51</v>
      </c>
      <c r="I176" s="28">
        <f>D176-E176</f>
        <v>357502.92</v>
      </c>
    </row>
    <row r="177" spans="1:9" x14ac:dyDescent="0.35">
      <c r="A177" s="1"/>
      <c r="B177" s="162" t="s">
        <v>58</v>
      </c>
      <c r="C177" s="9">
        <f>SUM(C178:C179)</f>
        <v>12064700</v>
      </c>
      <c r="D177" s="9">
        <f>SUM(D178:D179)</f>
        <v>9520102</v>
      </c>
      <c r="E177" s="9">
        <f>SUM(E178:E179)</f>
        <v>2511262.42</v>
      </c>
      <c r="F177" s="10">
        <f>E177/D177*100</f>
        <v>26.378524305726973</v>
      </c>
      <c r="G177" s="10">
        <f>SUM(G178:G179)</f>
        <v>1034492.88</v>
      </c>
      <c r="H177" s="9">
        <f>SUM(H178:H179)</f>
        <v>819968.79</v>
      </c>
      <c r="I177" s="11">
        <f>SUM(I178:I179)</f>
        <v>7008839.5800000001</v>
      </c>
    </row>
    <row r="178" spans="1:9" x14ac:dyDescent="0.35">
      <c r="A178" s="1" t="s">
        <v>59</v>
      </c>
      <c r="B178" s="161" t="s">
        <v>60</v>
      </c>
      <c r="C178" s="68">
        <f>232113+9392937</f>
        <v>9625050</v>
      </c>
      <c r="D178" s="68">
        <f>232113+7169729</f>
        <v>7401842</v>
      </c>
      <c r="E178" s="69">
        <f>61926.97+2053682.57</f>
        <v>2115609.54</v>
      </c>
      <c r="F178" s="70">
        <f>E178/D178*100</f>
        <v>28.582203456923288</v>
      </c>
      <c r="G178" s="70">
        <f>61926.97+778200.38</f>
        <v>840127.35</v>
      </c>
      <c r="H178" s="69">
        <f>11329.09+622654.15</f>
        <v>633983.24</v>
      </c>
      <c r="I178" s="28">
        <f>D178-E178</f>
        <v>5286232.46</v>
      </c>
    </row>
    <row r="179" spans="1:9" ht="15" thickBot="1" x14ac:dyDescent="0.4">
      <c r="A179" s="171" t="s">
        <v>61</v>
      </c>
      <c r="B179" s="172" t="s">
        <v>60</v>
      </c>
      <c r="C179" s="74">
        <v>2439650</v>
      </c>
      <c r="D179" s="74">
        <v>2118260</v>
      </c>
      <c r="E179" s="75">
        <f>395652.88</f>
        <v>395652.88</v>
      </c>
      <c r="F179" s="76">
        <f>E179/D179*100</f>
        <v>18.678201920444138</v>
      </c>
      <c r="G179" s="76">
        <f>194365.53</f>
        <v>194365.53</v>
      </c>
      <c r="H179" s="75">
        <v>185985.55</v>
      </c>
      <c r="I179" s="77">
        <f>D179-E179</f>
        <v>1722607.12</v>
      </c>
    </row>
    <row r="181" spans="1:9" ht="15" thickBot="1" x14ac:dyDescent="0.4"/>
    <row r="182" spans="1:9" ht="15" thickBot="1" x14ac:dyDescent="0.4">
      <c r="A182" s="205" t="s">
        <v>70</v>
      </c>
      <c r="B182" s="198"/>
      <c r="C182" s="198"/>
      <c r="D182" s="198"/>
      <c r="E182" s="198"/>
      <c r="F182" s="198"/>
      <c r="G182" s="198"/>
      <c r="H182" s="199"/>
    </row>
    <row r="183" spans="1:9" ht="58.5" thickBot="1" x14ac:dyDescent="0.4">
      <c r="A183" s="173" t="s">
        <v>1</v>
      </c>
      <c r="B183" s="174" t="s">
        <v>2</v>
      </c>
      <c r="C183" s="174" t="s">
        <v>3</v>
      </c>
      <c r="D183" s="174" t="s">
        <v>4</v>
      </c>
      <c r="E183" s="175" t="s">
        <v>5</v>
      </c>
      <c r="F183" s="175" t="s">
        <v>67</v>
      </c>
      <c r="G183" s="175" t="s">
        <v>68</v>
      </c>
      <c r="H183" s="176" t="s">
        <v>69</v>
      </c>
    </row>
    <row r="184" spans="1:9" x14ac:dyDescent="0.35">
      <c r="A184" s="157" t="s">
        <v>9</v>
      </c>
      <c r="B184" s="9">
        <f>B185+B193+B196+B198+B202+B206+B211+B213</f>
        <v>43689200</v>
      </c>
      <c r="C184" s="9">
        <f>C185+C193+C196+C198+C202+C206+C211+C213</f>
        <v>33738020</v>
      </c>
      <c r="D184" s="9">
        <f>D185+D193+D196+D198+D202+D206+D211+D213</f>
        <v>23214410.750000004</v>
      </c>
      <c r="E184" s="10">
        <f>D184/C184*100</f>
        <v>68.807863502363219</v>
      </c>
      <c r="F184" s="9">
        <f>F185+F193+F196+F198+F202+F206+F211+F213</f>
        <v>9776666.4199999999</v>
      </c>
      <c r="G184" s="61">
        <f>G185+G193+G196+G198+G202+G206+G211+G213</f>
        <v>5246267.01</v>
      </c>
      <c r="H184" s="11">
        <f>H185+H193+H196+H198+H202+H206+H211+H213</f>
        <v>10523609.25</v>
      </c>
    </row>
    <row r="185" spans="1:9" x14ac:dyDescent="0.35">
      <c r="A185" s="159" t="s">
        <v>10</v>
      </c>
      <c r="B185" s="17">
        <f>SUM(B186:B192)</f>
        <v>11928500</v>
      </c>
      <c r="C185" s="17">
        <f>SUM(C186:C192)</f>
        <v>7654875</v>
      </c>
      <c r="D185" s="17">
        <f>SUM(D186:D192)</f>
        <v>5648427.4200000009</v>
      </c>
      <c r="E185" s="18">
        <f t="shared" ref="E185:E192" si="25">D185/C185*100</f>
        <v>73.788630382599337</v>
      </c>
      <c r="F185" s="17">
        <f>SUM(F186:F192)</f>
        <v>2111129.98</v>
      </c>
      <c r="G185" s="177">
        <f>SUM(G186:G192)</f>
        <v>1804117.21</v>
      </c>
      <c r="H185" s="19">
        <f>SUM(H186:H192)</f>
        <v>2006447.58</v>
      </c>
    </row>
    <row r="186" spans="1:9" x14ac:dyDescent="0.35">
      <c r="A186" s="160" t="s">
        <v>12</v>
      </c>
      <c r="B186" s="22">
        <v>5445000</v>
      </c>
      <c r="C186" s="22">
        <v>2945000</v>
      </c>
      <c r="D186" s="22">
        <v>2500000</v>
      </c>
      <c r="E186" s="23">
        <f>D186/C186*100</f>
        <v>84.88964346349745</v>
      </c>
      <c r="F186" s="22">
        <v>0</v>
      </c>
      <c r="G186" s="178">
        <v>0</v>
      </c>
      <c r="H186" s="24">
        <f t="shared" ref="H186:H192" si="26">C186-D186</f>
        <v>445000</v>
      </c>
    </row>
    <row r="187" spans="1:9" x14ac:dyDescent="0.35">
      <c r="A187" s="160" t="s">
        <v>14</v>
      </c>
      <c r="B187" s="26">
        <v>2791910</v>
      </c>
      <c r="C187" s="26">
        <v>1467210</v>
      </c>
      <c r="D187" s="26">
        <v>637101.56000000006</v>
      </c>
      <c r="E187" s="23">
        <f t="shared" ref="E187:E191" si="27">D187/C187*100</f>
        <v>43.422656606757052</v>
      </c>
      <c r="F187" s="22">
        <v>482287.53</v>
      </c>
      <c r="G187" s="55">
        <v>329734.76</v>
      </c>
      <c r="H187" s="28">
        <f t="shared" si="26"/>
        <v>830108.44</v>
      </c>
    </row>
    <row r="188" spans="1:9" x14ac:dyDescent="0.35">
      <c r="A188" s="160" t="s">
        <v>16</v>
      </c>
      <c r="B188" s="26">
        <v>500000</v>
      </c>
      <c r="C188" s="26">
        <v>500000</v>
      </c>
      <c r="D188" s="26">
        <v>500000</v>
      </c>
      <c r="E188" s="23">
        <f t="shared" si="27"/>
        <v>100</v>
      </c>
      <c r="F188" s="22">
        <v>500000</v>
      </c>
      <c r="G188" s="55">
        <v>500000</v>
      </c>
      <c r="H188" s="28">
        <f t="shared" si="26"/>
        <v>0</v>
      </c>
    </row>
    <row r="189" spans="1:9" x14ac:dyDescent="0.35">
      <c r="A189" s="160" t="s">
        <v>18</v>
      </c>
      <c r="B189" s="26">
        <v>500000</v>
      </c>
      <c r="C189" s="26">
        <v>497500</v>
      </c>
      <c r="D189" s="26">
        <v>370186.41</v>
      </c>
      <c r="E189" s="23">
        <f t="shared" si="27"/>
        <v>74.409328643216071</v>
      </c>
      <c r="F189" s="22">
        <v>202295</v>
      </c>
      <c r="G189" s="55">
        <v>116695</v>
      </c>
      <c r="H189" s="28">
        <f t="shared" si="26"/>
        <v>127313.59000000003</v>
      </c>
    </row>
    <row r="190" spans="1:9" x14ac:dyDescent="0.35">
      <c r="A190" s="160" t="s">
        <v>20</v>
      </c>
      <c r="B190" s="26">
        <v>675000</v>
      </c>
      <c r="C190" s="26">
        <v>522500</v>
      </c>
      <c r="D190" s="26">
        <v>343040</v>
      </c>
      <c r="E190" s="23">
        <f t="shared" si="27"/>
        <v>65.65358851674641</v>
      </c>
      <c r="F190" s="22">
        <v>248162.37</v>
      </c>
      <c r="G190" s="26">
        <v>214712.37</v>
      </c>
      <c r="H190" s="28">
        <f t="shared" si="26"/>
        <v>179460</v>
      </c>
    </row>
    <row r="191" spans="1:9" x14ac:dyDescent="0.35">
      <c r="A191" s="161" t="s">
        <v>22</v>
      </c>
      <c r="B191" s="26">
        <v>177490</v>
      </c>
      <c r="C191" s="26">
        <v>129915</v>
      </c>
      <c r="D191" s="26">
        <v>16426.669999999998</v>
      </c>
      <c r="E191" s="23">
        <f t="shared" si="27"/>
        <v>12.644167340183966</v>
      </c>
      <c r="F191" s="22">
        <v>14782.83</v>
      </c>
      <c r="G191" s="26">
        <v>14472.83</v>
      </c>
      <c r="H191" s="28">
        <f t="shared" si="26"/>
        <v>113488.33</v>
      </c>
    </row>
    <row r="192" spans="1:9" x14ac:dyDescent="0.35">
      <c r="A192" s="160" t="s">
        <v>24</v>
      </c>
      <c r="B192" s="26">
        <v>1839100</v>
      </c>
      <c r="C192" s="26">
        <v>1592750</v>
      </c>
      <c r="D192" s="26">
        <v>1281672.78</v>
      </c>
      <c r="E192" s="27">
        <f t="shared" si="25"/>
        <v>80.469174697849638</v>
      </c>
      <c r="F192" s="26">
        <v>663602.25</v>
      </c>
      <c r="G192" s="26">
        <v>628502.25</v>
      </c>
      <c r="H192" s="28">
        <f t="shared" si="26"/>
        <v>311077.21999999997</v>
      </c>
    </row>
    <row r="193" spans="1:8" x14ac:dyDescent="0.35">
      <c r="A193" s="159" t="s">
        <v>25</v>
      </c>
      <c r="B193" s="17">
        <f>SUM(B194:B195)</f>
        <v>775670</v>
      </c>
      <c r="C193" s="17">
        <f t="shared" ref="C193:D193" si="28">SUM(C194:C195)</f>
        <v>774670</v>
      </c>
      <c r="D193" s="17">
        <f t="shared" si="28"/>
        <v>662831.49</v>
      </c>
      <c r="E193" s="18">
        <f>D193/C193*100</f>
        <v>85.563077181251373</v>
      </c>
      <c r="F193" s="17">
        <f>SUM(F194:F195)</f>
        <v>55294.27</v>
      </c>
      <c r="G193" s="17">
        <f>SUM(G194:G195)</f>
        <v>54163.28</v>
      </c>
      <c r="H193" s="19">
        <f>SUM(H194:H195)</f>
        <v>111838.51000000001</v>
      </c>
    </row>
    <row r="194" spans="1:8" x14ac:dyDescent="0.35">
      <c r="A194" s="158" t="s">
        <v>27</v>
      </c>
      <c r="B194" s="33">
        <v>400670</v>
      </c>
      <c r="C194" s="33">
        <v>400670</v>
      </c>
      <c r="D194" s="22">
        <v>363785.25</v>
      </c>
      <c r="E194" s="23">
        <f>D194/C194*100</f>
        <v>90.794232161130111</v>
      </c>
      <c r="F194" s="22">
        <v>6245.85</v>
      </c>
      <c r="G194" s="22">
        <v>5114.8599999999997</v>
      </c>
      <c r="H194" s="34">
        <f>C194-D194</f>
        <v>36884.75</v>
      </c>
    </row>
    <row r="195" spans="1:8" x14ac:dyDescent="0.35">
      <c r="A195" s="158" t="s">
        <v>29</v>
      </c>
      <c r="B195" s="33">
        <v>375000</v>
      </c>
      <c r="C195" s="33">
        <v>374000</v>
      </c>
      <c r="D195" s="22">
        <v>299046.24</v>
      </c>
      <c r="E195" s="23">
        <f>D195/C195*100</f>
        <v>79.95888770053476</v>
      </c>
      <c r="F195" s="22">
        <v>49048.42</v>
      </c>
      <c r="G195" s="22">
        <v>49048.42</v>
      </c>
      <c r="H195" s="34">
        <f>C195-D195</f>
        <v>74953.760000000009</v>
      </c>
    </row>
    <row r="196" spans="1:8" x14ac:dyDescent="0.35">
      <c r="A196" s="162" t="s">
        <v>30</v>
      </c>
      <c r="B196" s="9">
        <f>SUM(B197)</f>
        <v>2500000</v>
      </c>
      <c r="C196" s="9">
        <f>SUM(C197)</f>
        <v>1250000</v>
      </c>
      <c r="D196" s="9">
        <f>SUM(D197)</f>
        <v>1250000</v>
      </c>
      <c r="E196" s="10">
        <v>0</v>
      </c>
      <c r="F196" s="41">
        <f>SUM(F197)</f>
        <v>1250000</v>
      </c>
      <c r="G196" s="61">
        <v>0</v>
      </c>
      <c r="H196" s="11">
        <f>SUM(H197)</f>
        <v>0</v>
      </c>
    </row>
    <row r="197" spans="1:8" x14ac:dyDescent="0.35">
      <c r="A197" s="158" t="s">
        <v>30</v>
      </c>
      <c r="B197" s="38">
        <v>2500000</v>
      </c>
      <c r="C197" s="38">
        <v>1250000</v>
      </c>
      <c r="D197" s="38">
        <v>1250000</v>
      </c>
      <c r="E197" s="23">
        <v>0</v>
      </c>
      <c r="F197" s="22">
        <v>1250000</v>
      </c>
      <c r="G197" s="63">
        <v>0</v>
      </c>
      <c r="H197" s="34">
        <f>C197-D197</f>
        <v>0</v>
      </c>
    </row>
    <row r="198" spans="1:8" x14ac:dyDescent="0.35">
      <c r="A198" s="159" t="s">
        <v>32</v>
      </c>
      <c r="B198" s="40">
        <f>SUM(B199:B201)</f>
        <v>7828892</v>
      </c>
      <c r="C198" s="40">
        <f>SUM(C199:C201)</f>
        <v>6220580</v>
      </c>
      <c r="D198" s="40">
        <f>SUM(D199:D201)</f>
        <v>5275668.87</v>
      </c>
      <c r="E198" s="41">
        <f t="shared" ref="E198:E203" si="29">D198/C198*100</f>
        <v>84.8099191715242</v>
      </c>
      <c r="F198" s="40">
        <f>SUM(F199:F201)</f>
        <v>2943887.74</v>
      </c>
      <c r="G198" s="52">
        <f>SUM(G199:G201)</f>
        <v>1592500.7800000003</v>
      </c>
      <c r="H198" s="11">
        <f>SUM(H199:H201)</f>
        <v>944911.12999999989</v>
      </c>
    </row>
    <row r="199" spans="1:8" x14ac:dyDescent="0.35">
      <c r="A199" s="158" t="s">
        <v>34</v>
      </c>
      <c r="B199" s="26">
        <v>2264500</v>
      </c>
      <c r="C199" s="26">
        <v>2193859</v>
      </c>
      <c r="D199" s="26">
        <v>1837674.32</v>
      </c>
      <c r="E199" s="27">
        <f t="shared" si="29"/>
        <v>83.764467999082896</v>
      </c>
      <c r="F199" s="26">
        <v>1029793.63</v>
      </c>
      <c r="G199" s="55">
        <v>507153.06</v>
      </c>
      <c r="H199" s="28">
        <f>C199-D199</f>
        <v>356184.67999999993</v>
      </c>
    </row>
    <row r="200" spans="1:8" x14ac:dyDescent="0.35">
      <c r="A200" s="163" t="s">
        <v>36</v>
      </c>
      <c r="B200" s="26">
        <v>5399892</v>
      </c>
      <c r="C200" s="26">
        <v>3863221</v>
      </c>
      <c r="D200" s="26">
        <v>3300952.6</v>
      </c>
      <c r="E200" s="27">
        <f t="shared" si="29"/>
        <v>85.44560614057545</v>
      </c>
      <c r="F200" s="26">
        <v>1786712.01</v>
      </c>
      <c r="G200" s="26">
        <v>1062557.6200000001</v>
      </c>
      <c r="H200" s="28">
        <f>C200-D200</f>
        <v>562268.39999999991</v>
      </c>
    </row>
    <row r="201" spans="1:8" x14ac:dyDescent="0.35">
      <c r="A201" s="164" t="s">
        <v>38</v>
      </c>
      <c r="B201" s="138">
        <v>164500</v>
      </c>
      <c r="C201" s="26">
        <v>163500</v>
      </c>
      <c r="D201" s="26">
        <v>137041.95000000001</v>
      </c>
      <c r="E201" s="27">
        <f t="shared" si="29"/>
        <v>83.817706422018361</v>
      </c>
      <c r="F201" s="26">
        <v>127382.1</v>
      </c>
      <c r="G201" s="26">
        <v>22790.1</v>
      </c>
      <c r="H201" s="28">
        <f>C201-D201</f>
        <v>26458.049999999988</v>
      </c>
    </row>
    <row r="202" spans="1:8" x14ac:dyDescent="0.35">
      <c r="A202" s="165" t="s">
        <v>39</v>
      </c>
      <c r="B202" s="140">
        <f>SUM(B203:B205)</f>
        <v>2025138</v>
      </c>
      <c r="C202" s="40">
        <f>SUM(C203:C205)</f>
        <v>1797300</v>
      </c>
      <c r="D202" s="40">
        <f>SUM(D203:D205)</f>
        <v>1048291.8</v>
      </c>
      <c r="E202" s="41">
        <f t="shared" si="29"/>
        <v>58.32592221665832</v>
      </c>
      <c r="F202" s="41">
        <f>SUM(F203:F205)</f>
        <v>602852.29</v>
      </c>
      <c r="G202" s="40">
        <f>SUM(G203:G205)</f>
        <v>285769.13</v>
      </c>
      <c r="H202" s="166">
        <f>SUM(H203:H205)</f>
        <v>749008.2</v>
      </c>
    </row>
    <row r="203" spans="1:8" x14ac:dyDescent="0.35">
      <c r="A203" s="1" t="s">
        <v>41</v>
      </c>
      <c r="B203" s="65">
        <v>1810858</v>
      </c>
      <c r="C203" s="38">
        <v>1623020</v>
      </c>
      <c r="D203" s="38">
        <v>1045078.37</v>
      </c>
      <c r="E203" s="27">
        <f t="shared" si="29"/>
        <v>64.390973000948847</v>
      </c>
      <c r="F203" s="26">
        <v>602148.28</v>
      </c>
      <c r="G203" s="38">
        <v>285369.13</v>
      </c>
      <c r="H203" s="167">
        <f>C203-D203</f>
        <v>577941.63</v>
      </c>
    </row>
    <row r="204" spans="1:8" x14ac:dyDescent="0.35">
      <c r="A204" s="152" t="s">
        <v>43</v>
      </c>
      <c r="B204" s="65">
        <v>64280</v>
      </c>
      <c r="C204" s="38">
        <v>24280</v>
      </c>
      <c r="D204" s="38">
        <v>3213.43</v>
      </c>
      <c r="E204" s="27">
        <f t="shared" ref="E204:E205" si="30">D204/C204*100</f>
        <v>13.234884678747941</v>
      </c>
      <c r="F204" s="26">
        <v>704.01</v>
      </c>
      <c r="G204" s="38">
        <v>400</v>
      </c>
      <c r="H204" s="167">
        <f>C204-D204</f>
        <v>21066.57</v>
      </c>
    </row>
    <row r="205" spans="1:8" x14ac:dyDescent="0.35">
      <c r="A205" s="168" t="s">
        <v>45</v>
      </c>
      <c r="B205" s="139">
        <v>150000</v>
      </c>
      <c r="C205" s="46">
        <v>150000</v>
      </c>
      <c r="D205" s="46">
        <v>0</v>
      </c>
      <c r="E205" s="31">
        <f t="shared" si="30"/>
        <v>0</v>
      </c>
      <c r="F205" s="31">
        <v>0</v>
      </c>
      <c r="G205" s="46">
        <v>0</v>
      </c>
      <c r="H205" s="66">
        <f>C205-D205</f>
        <v>150000</v>
      </c>
    </row>
    <row r="206" spans="1:8" x14ac:dyDescent="0.35">
      <c r="A206" s="162" t="s">
        <v>46</v>
      </c>
      <c r="B206" s="141">
        <f>SUM(B207:B210)</f>
        <v>5853400</v>
      </c>
      <c r="C206" s="9">
        <f>SUM(C207:C210)</f>
        <v>5765625</v>
      </c>
      <c r="D206" s="61">
        <f>SUM(D207:D210)</f>
        <v>4763324.4399999995</v>
      </c>
      <c r="E206" s="10">
        <f>D206/C206*100</f>
        <v>82.615925246612449</v>
      </c>
      <c r="F206" s="9">
        <f>SUM(F207:F210)</f>
        <v>396382.31</v>
      </c>
      <c r="G206" s="9">
        <f>SUM(G207:G210)</f>
        <v>303660.48</v>
      </c>
      <c r="H206" s="11">
        <f>SUM(H207:H210)</f>
        <v>1002300.56</v>
      </c>
    </row>
    <row r="207" spans="1:8" x14ac:dyDescent="0.35">
      <c r="A207" s="160" t="s">
        <v>48</v>
      </c>
      <c r="B207" s="64">
        <v>3600000</v>
      </c>
      <c r="C207" s="38">
        <v>3600000</v>
      </c>
      <c r="D207" s="55">
        <v>3600000</v>
      </c>
      <c r="E207" s="27">
        <v>0</v>
      </c>
      <c r="F207" s="55">
        <v>0</v>
      </c>
      <c r="G207" s="63">
        <v>0</v>
      </c>
      <c r="H207" s="28">
        <f>C207-D207</f>
        <v>0</v>
      </c>
    </row>
    <row r="208" spans="1:8" x14ac:dyDescent="0.35">
      <c r="A208" s="158" t="s">
        <v>50</v>
      </c>
      <c r="B208" s="64">
        <v>132600</v>
      </c>
      <c r="C208" s="38">
        <v>108350</v>
      </c>
      <c r="D208" s="64">
        <v>35692.53</v>
      </c>
      <c r="E208" s="27">
        <f>D208/C208*100</f>
        <v>32.941882787263502</v>
      </c>
      <c r="F208" s="138">
        <v>22826.55</v>
      </c>
      <c r="G208" s="65">
        <v>18047.55</v>
      </c>
      <c r="H208" s="28">
        <f>C208-D208</f>
        <v>72657.47</v>
      </c>
    </row>
    <row r="209" spans="1:8" x14ac:dyDescent="0.35">
      <c r="A209" s="158" t="s">
        <v>52</v>
      </c>
      <c r="B209" s="64">
        <v>1091800</v>
      </c>
      <c r="C209" s="38">
        <v>1045425</v>
      </c>
      <c r="D209" s="64">
        <v>537664.81999999995</v>
      </c>
      <c r="E209" s="27">
        <f>D209/C209*100</f>
        <v>51.430262333500721</v>
      </c>
      <c r="F209" s="26">
        <v>269466.43</v>
      </c>
      <c r="G209" s="38">
        <v>213294.13</v>
      </c>
      <c r="H209" s="28">
        <f>C209-D209</f>
        <v>507760.18000000005</v>
      </c>
    </row>
    <row r="210" spans="1:8" x14ac:dyDescent="0.35">
      <c r="A210" s="158" t="s">
        <v>54</v>
      </c>
      <c r="B210" s="64">
        <v>1029000</v>
      </c>
      <c r="C210" s="38">
        <v>1011850</v>
      </c>
      <c r="D210" s="63">
        <v>589967.09</v>
      </c>
      <c r="E210" s="27">
        <f>D210/C210*100</f>
        <v>58.305785442506298</v>
      </c>
      <c r="F210" s="26">
        <v>104089.33</v>
      </c>
      <c r="G210" s="38">
        <v>72318.8</v>
      </c>
      <c r="H210" s="28">
        <f>C210-D210</f>
        <v>421882.91000000003</v>
      </c>
    </row>
    <row r="211" spans="1:8" x14ac:dyDescent="0.35">
      <c r="A211" s="162" t="s">
        <v>55</v>
      </c>
      <c r="B211" s="9">
        <f>SUM(B212)</f>
        <v>712900</v>
      </c>
      <c r="C211" s="9">
        <f>SUM(C212)</f>
        <v>673208</v>
      </c>
      <c r="D211" s="61">
        <f>SUM(D212)</f>
        <v>381413.76</v>
      </c>
      <c r="E211" s="10">
        <f t="shared" ref="E211" si="31">D211/C211*100</f>
        <v>56.656153818730616</v>
      </c>
      <c r="F211" s="9">
        <f>SUM(F212)</f>
        <v>207502.67</v>
      </c>
      <c r="G211" s="9">
        <f>SUM(G212)</f>
        <v>191919.45</v>
      </c>
      <c r="H211" s="11">
        <f>SUM(H212)</f>
        <v>291794.24</v>
      </c>
    </row>
    <row r="212" spans="1:8" x14ac:dyDescent="0.35">
      <c r="A212" s="160" t="s">
        <v>57</v>
      </c>
      <c r="B212" s="38">
        <v>712900</v>
      </c>
      <c r="C212" s="38">
        <v>673208</v>
      </c>
      <c r="D212" s="63">
        <v>381413.76</v>
      </c>
      <c r="E212" s="27">
        <f>D212/C212*100</f>
        <v>56.656153818730616</v>
      </c>
      <c r="F212" s="26">
        <v>207502.67</v>
      </c>
      <c r="G212" s="38">
        <v>191919.45</v>
      </c>
      <c r="H212" s="28">
        <f>C212-D212</f>
        <v>291794.24</v>
      </c>
    </row>
    <row r="213" spans="1:8" x14ac:dyDescent="0.35">
      <c r="A213" s="162" t="s">
        <v>58</v>
      </c>
      <c r="B213" s="9">
        <f>SUM(B214:B215)</f>
        <v>12064700</v>
      </c>
      <c r="C213" s="9">
        <f>SUM(C214:C215)</f>
        <v>9601762</v>
      </c>
      <c r="D213" s="9">
        <f>SUM(D214:D215)</f>
        <v>4184452.9699999997</v>
      </c>
      <c r="E213" s="10">
        <f>D213/C213*100</f>
        <v>43.580053015269485</v>
      </c>
      <c r="F213" s="9">
        <f>SUM(F214:F215)</f>
        <v>2209617.16</v>
      </c>
      <c r="G213" s="9">
        <f>SUM(G214:G215)</f>
        <v>1014136.68</v>
      </c>
      <c r="H213" s="11">
        <f>SUM(H214:H215)</f>
        <v>5417309.0300000003</v>
      </c>
    </row>
    <row r="214" spans="1:8" x14ac:dyDescent="0.35">
      <c r="A214" s="161" t="s">
        <v>60</v>
      </c>
      <c r="B214" s="68">
        <f>9263379+361671</f>
        <v>9625050</v>
      </c>
      <c r="C214" s="68">
        <f>7090671+361671</f>
        <v>7452342</v>
      </c>
      <c r="D214" s="69">
        <f>2737894.3+94172.87</f>
        <v>2832067.17</v>
      </c>
      <c r="E214" s="70">
        <f>D214/C214*100</f>
        <v>38.002377910192529</v>
      </c>
      <c r="F214" s="179">
        <f>953933.01+94172.87</f>
        <v>1048105.88</v>
      </c>
      <c r="G214" s="69">
        <f>778069.05+11374.99</f>
        <v>789444.04</v>
      </c>
      <c r="H214" s="28">
        <f>C214-D214</f>
        <v>4620274.83</v>
      </c>
    </row>
    <row r="215" spans="1:8" ht="15" thickBot="1" x14ac:dyDescent="0.4">
      <c r="A215" s="172" t="s">
        <v>60</v>
      </c>
      <c r="B215" s="74">
        <f>98000+2341650</f>
        <v>2439650</v>
      </c>
      <c r="C215" s="74">
        <f>98000+2051420</f>
        <v>2149420</v>
      </c>
      <c r="D215" s="75">
        <v>1352385.8</v>
      </c>
      <c r="E215" s="76">
        <f>D215/C215*100</f>
        <v>62.918638516436999</v>
      </c>
      <c r="F215" s="180">
        <v>1161511.28</v>
      </c>
      <c r="G215" s="75">
        <v>224692.64</v>
      </c>
      <c r="H215" s="77">
        <f>C215-D215</f>
        <v>797034.2</v>
      </c>
    </row>
    <row r="217" spans="1:8" ht="15" thickBot="1" x14ac:dyDescent="0.4"/>
    <row r="218" spans="1:8" ht="15" thickBot="1" x14ac:dyDescent="0.4">
      <c r="A218" s="206" t="s">
        <v>71</v>
      </c>
      <c r="B218" s="207"/>
      <c r="C218" s="207"/>
      <c r="D218" s="207"/>
      <c r="E218" s="207"/>
      <c r="F218" s="207"/>
      <c r="G218" s="207"/>
      <c r="H218" s="208"/>
    </row>
    <row r="219" spans="1:8" ht="58.5" thickBot="1" x14ac:dyDescent="0.4">
      <c r="A219" s="173" t="s">
        <v>1</v>
      </c>
      <c r="B219" s="174" t="s">
        <v>2</v>
      </c>
      <c r="C219" s="174" t="s">
        <v>3</v>
      </c>
      <c r="D219" s="174" t="s">
        <v>4</v>
      </c>
      <c r="E219" s="175" t="s">
        <v>5</v>
      </c>
      <c r="F219" s="175" t="s">
        <v>67</v>
      </c>
      <c r="G219" s="175" t="s">
        <v>68</v>
      </c>
      <c r="H219" s="176" t="s">
        <v>69</v>
      </c>
    </row>
    <row r="220" spans="1:8" x14ac:dyDescent="0.35">
      <c r="A220" s="157" t="s">
        <v>9</v>
      </c>
      <c r="B220" s="9">
        <f>B221+B229+B232+B234+B238+B242+B247+B249</f>
        <v>43689200</v>
      </c>
      <c r="C220" s="9">
        <f>C221+C229+C232+C234+C238+C242+C247+C249</f>
        <v>34166650</v>
      </c>
      <c r="D220" s="9">
        <f>D221+D229+D232+D234+D238+D242+D247+D249</f>
        <v>24552600.350000001</v>
      </c>
      <c r="E220" s="10">
        <f>D220/C220*100</f>
        <v>71.861304371367993</v>
      </c>
      <c r="F220" s="9">
        <f>F221+F229+F232+F234+F238+F242+F247+F249</f>
        <v>13488597.420000002</v>
      </c>
      <c r="G220" s="61">
        <f>G221+G229+G232+G234+G238+G242+G247+G249</f>
        <v>9010024.3399999999</v>
      </c>
      <c r="H220" s="11">
        <f>H221+H229+H232+H234+H238+H242+H247+H249</f>
        <v>9614049.6500000004</v>
      </c>
    </row>
    <row r="221" spans="1:8" x14ac:dyDescent="0.35">
      <c r="A221" s="159" t="s">
        <v>10</v>
      </c>
      <c r="B221" s="17">
        <f>SUM(B222:B228)</f>
        <v>11898500</v>
      </c>
      <c r="C221" s="17">
        <f>SUM(C222:C228)</f>
        <v>8024875</v>
      </c>
      <c r="D221" s="17">
        <f>SUM(D222:D228)</f>
        <v>6092330.0300000003</v>
      </c>
      <c r="E221" s="18">
        <f t="shared" ref="E221:E228" si="32">D221/C221*100</f>
        <v>75.918067633452239</v>
      </c>
      <c r="F221" s="17">
        <f>SUM(F222:F228)</f>
        <v>2300570.52</v>
      </c>
      <c r="G221" s="177">
        <f>SUM(G222:G228)</f>
        <v>2219025.3200000003</v>
      </c>
      <c r="H221" s="19">
        <f>SUM(H222:H228)</f>
        <v>1932544.9700000002</v>
      </c>
    </row>
    <row r="222" spans="1:8" x14ac:dyDescent="0.35">
      <c r="A222" s="160" t="s">
        <v>12</v>
      </c>
      <c r="B222" s="22">
        <v>5445000</v>
      </c>
      <c r="C222" s="22">
        <v>2945000</v>
      </c>
      <c r="D222" s="22">
        <v>2500000</v>
      </c>
      <c r="E222" s="23">
        <f>D222/C222*100</f>
        <v>84.88964346349745</v>
      </c>
      <c r="F222" s="22">
        <v>0</v>
      </c>
      <c r="G222" s="178">
        <v>0</v>
      </c>
      <c r="H222" s="24">
        <f t="shared" ref="H222:H228" si="33">C222-D222</f>
        <v>445000</v>
      </c>
    </row>
    <row r="223" spans="1:8" x14ac:dyDescent="0.35">
      <c r="A223" s="160" t="s">
        <v>14</v>
      </c>
      <c r="B223" s="26">
        <v>2276910</v>
      </c>
      <c r="C223" s="26">
        <v>1352210</v>
      </c>
      <c r="D223" s="26">
        <v>1036387.42</v>
      </c>
      <c r="E223" s="23">
        <f t="shared" ref="E223:E227" si="34">D223/C223*100</f>
        <v>76.643969501778571</v>
      </c>
      <c r="F223" s="22">
        <v>538317.6</v>
      </c>
      <c r="G223" s="55">
        <v>504737.98</v>
      </c>
      <c r="H223" s="28">
        <f t="shared" si="33"/>
        <v>315822.57999999996</v>
      </c>
    </row>
    <row r="224" spans="1:8" x14ac:dyDescent="0.35">
      <c r="A224" s="160" t="s">
        <v>16</v>
      </c>
      <c r="B224" s="26">
        <v>995000</v>
      </c>
      <c r="C224" s="26">
        <v>995000</v>
      </c>
      <c r="D224" s="26">
        <v>500000</v>
      </c>
      <c r="E224" s="23">
        <f t="shared" si="34"/>
        <v>50.251256281407031</v>
      </c>
      <c r="F224" s="22">
        <v>500000</v>
      </c>
      <c r="G224" s="55">
        <v>500000</v>
      </c>
      <c r="H224" s="28">
        <f t="shared" si="33"/>
        <v>495000</v>
      </c>
    </row>
    <row r="225" spans="1:8" x14ac:dyDescent="0.35">
      <c r="A225" s="160" t="s">
        <v>18</v>
      </c>
      <c r="B225" s="26">
        <v>500000</v>
      </c>
      <c r="C225" s="26">
        <v>497500</v>
      </c>
      <c r="D225" s="26">
        <v>370186.41</v>
      </c>
      <c r="E225" s="23">
        <f t="shared" si="34"/>
        <v>74.409328643216071</v>
      </c>
      <c r="F225" s="22">
        <v>203195</v>
      </c>
      <c r="G225" s="55">
        <v>203195</v>
      </c>
      <c r="H225" s="28">
        <f t="shared" si="33"/>
        <v>127313.59000000003</v>
      </c>
    </row>
    <row r="226" spans="1:8" x14ac:dyDescent="0.35">
      <c r="A226" s="160" t="s">
        <v>20</v>
      </c>
      <c r="B226" s="26">
        <v>675000</v>
      </c>
      <c r="C226" s="26">
        <v>522500</v>
      </c>
      <c r="D226" s="26">
        <v>343040</v>
      </c>
      <c r="E226" s="23">
        <f t="shared" si="34"/>
        <v>65.65358851674641</v>
      </c>
      <c r="F226" s="22">
        <v>248162.37</v>
      </c>
      <c r="G226" s="26">
        <v>248162.37</v>
      </c>
      <c r="H226" s="28">
        <f t="shared" si="33"/>
        <v>179460</v>
      </c>
    </row>
    <row r="227" spans="1:8" x14ac:dyDescent="0.35">
      <c r="A227" s="161" t="s">
        <v>22</v>
      </c>
      <c r="B227" s="26">
        <v>177490</v>
      </c>
      <c r="C227" s="26">
        <v>129915</v>
      </c>
      <c r="D227" s="26">
        <v>16426.669999999998</v>
      </c>
      <c r="E227" s="23">
        <f t="shared" si="34"/>
        <v>12.644167340183966</v>
      </c>
      <c r="F227" s="22">
        <v>16426.669999999998</v>
      </c>
      <c r="G227" s="26">
        <v>16065.79</v>
      </c>
      <c r="H227" s="28">
        <f t="shared" si="33"/>
        <v>113488.33</v>
      </c>
    </row>
    <row r="228" spans="1:8" x14ac:dyDescent="0.35">
      <c r="A228" s="160" t="s">
        <v>24</v>
      </c>
      <c r="B228" s="26">
        <v>1829100</v>
      </c>
      <c r="C228" s="26">
        <v>1582750</v>
      </c>
      <c r="D228" s="26">
        <v>1326289.53</v>
      </c>
      <c r="E228" s="27">
        <f t="shared" si="32"/>
        <v>83.796526930974565</v>
      </c>
      <c r="F228" s="26">
        <v>794468.88</v>
      </c>
      <c r="G228" s="26">
        <v>746864.18</v>
      </c>
      <c r="H228" s="28">
        <f t="shared" si="33"/>
        <v>256460.46999999997</v>
      </c>
    </row>
    <row r="229" spans="1:8" x14ac:dyDescent="0.35">
      <c r="A229" s="159" t="s">
        <v>25</v>
      </c>
      <c r="B229" s="17">
        <f>SUM(B230:B231)</f>
        <v>775670</v>
      </c>
      <c r="C229" s="17">
        <f t="shared" ref="C229:D229" si="35">SUM(C230:C231)</f>
        <v>774670</v>
      </c>
      <c r="D229" s="17">
        <f t="shared" si="35"/>
        <v>662831.49</v>
      </c>
      <c r="E229" s="18">
        <f>D229/C229*100</f>
        <v>85.563077181251373</v>
      </c>
      <c r="F229" s="17">
        <f>SUM(F230:F231)</f>
        <v>543651.68999999994</v>
      </c>
      <c r="G229" s="17">
        <f>SUM(G230:G231)</f>
        <v>55294.27</v>
      </c>
      <c r="H229" s="19">
        <f>SUM(H230:H231)</f>
        <v>111838.51000000001</v>
      </c>
    </row>
    <row r="230" spans="1:8" x14ac:dyDescent="0.35">
      <c r="A230" s="158" t="s">
        <v>27</v>
      </c>
      <c r="B230" s="33">
        <v>400670</v>
      </c>
      <c r="C230" s="33">
        <v>400670</v>
      </c>
      <c r="D230" s="22">
        <v>363785.25</v>
      </c>
      <c r="E230" s="23">
        <f>D230/C230*100</f>
        <v>90.794232161130111</v>
      </c>
      <c r="F230" s="22">
        <v>244605.45</v>
      </c>
      <c r="G230" s="22">
        <v>6245.85</v>
      </c>
      <c r="H230" s="34">
        <f>C230-D230</f>
        <v>36884.75</v>
      </c>
    </row>
    <row r="231" spans="1:8" x14ac:dyDescent="0.35">
      <c r="A231" s="158" t="s">
        <v>29</v>
      </c>
      <c r="B231" s="33">
        <v>375000</v>
      </c>
      <c r="C231" s="33">
        <v>374000</v>
      </c>
      <c r="D231" s="22">
        <v>299046.24</v>
      </c>
      <c r="E231" s="23">
        <f>D231/C231*100</f>
        <v>79.95888770053476</v>
      </c>
      <c r="F231" s="22">
        <v>299046.24</v>
      </c>
      <c r="G231" s="22">
        <v>49048.42</v>
      </c>
      <c r="H231" s="34">
        <f>C231-D231</f>
        <v>74953.760000000009</v>
      </c>
    </row>
    <row r="232" spans="1:8" x14ac:dyDescent="0.35">
      <c r="A232" s="162" t="s">
        <v>30</v>
      </c>
      <c r="B232" s="9">
        <f>SUM(B233)</f>
        <v>2500000</v>
      </c>
      <c r="C232" s="9">
        <f>SUM(C233)</f>
        <v>1250000</v>
      </c>
      <c r="D232" s="9">
        <f>SUM(D233)</f>
        <v>1250000</v>
      </c>
      <c r="E232" s="10">
        <v>0</v>
      </c>
      <c r="F232" s="41">
        <f>SUM(F233)</f>
        <v>1250000</v>
      </c>
      <c r="G232" s="61">
        <f>G233</f>
        <v>500000</v>
      </c>
      <c r="H232" s="34">
        <f t="shared" ref="H232:H233" si="36">C232-D232</f>
        <v>0</v>
      </c>
    </row>
    <row r="233" spans="1:8" x14ac:dyDescent="0.35">
      <c r="A233" s="158" t="s">
        <v>30</v>
      </c>
      <c r="B233" s="38">
        <v>2500000</v>
      </c>
      <c r="C233" s="38">
        <v>1250000</v>
      </c>
      <c r="D233" s="38">
        <v>1250000</v>
      </c>
      <c r="E233" s="23">
        <v>0</v>
      </c>
      <c r="F233" s="22">
        <v>1250000</v>
      </c>
      <c r="G233" s="63">
        <v>500000</v>
      </c>
      <c r="H233" s="34">
        <f t="shared" si="36"/>
        <v>0</v>
      </c>
    </row>
    <row r="234" spans="1:8" x14ac:dyDescent="0.35">
      <c r="A234" s="159" t="s">
        <v>32</v>
      </c>
      <c r="B234" s="40">
        <f>SUM(B235:B237)</f>
        <v>7946892</v>
      </c>
      <c r="C234" s="40">
        <f>SUM(C235:C237)</f>
        <v>6346584</v>
      </c>
      <c r="D234" s="40">
        <f>SUM(D235:D237)</f>
        <v>5677982.9699999997</v>
      </c>
      <c r="E234" s="41">
        <f t="shared" ref="E234:E239" si="37">D234/C234*100</f>
        <v>89.465182687253488</v>
      </c>
      <c r="F234" s="40">
        <f>SUM(F235:F237)</f>
        <v>3383022.12</v>
      </c>
      <c r="G234" s="52">
        <f>SUM(G235:G237)</f>
        <v>2629499.08</v>
      </c>
      <c r="H234" s="11">
        <f>SUM(H235:H237)</f>
        <v>668601.03</v>
      </c>
    </row>
    <row r="235" spans="1:8" x14ac:dyDescent="0.35">
      <c r="A235" s="158" t="s">
        <v>34</v>
      </c>
      <c r="B235" s="26">
        <v>2382500</v>
      </c>
      <c r="C235" s="26">
        <v>2317255</v>
      </c>
      <c r="D235" s="26">
        <v>2059848.75</v>
      </c>
      <c r="E235" s="27">
        <f t="shared" si="37"/>
        <v>88.891759862423427</v>
      </c>
      <c r="F235" s="26">
        <v>1205035.05</v>
      </c>
      <c r="G235" s="55">
        <v>675908.83</v>
      </c>
      <c r="H235" s="28">
        <f>C235-D235</f>
        <v>257406.25</v>
      </c>
    </row>
    <row r="236" spans="1:8" x14ac:dyDescent="0.35">
      <c r="A236" s="163" t="s">
        <v>36</v>
      </c>
      <c r="B236" s="26">
        <v>5399892</v>
      </c>
      <c r="C236" s="26">
        <v>3865829</v>
      </c>
      <c r="D236" s="26">
        <v>3480875.75</v>
      </c>
      <c r="E236" s="27">
        <f t="shared" si="37"/>
        <v>90.042155253116476</v>
      </c>
      <c r="F236" s="26">
        <v>2050388.45</v>
      </c>
      <c r="G236" s="26">
        <v>1825991.63</v>
      </c>
      <c r="H236" s="28">
        <f>C236-D236</f>
        <v>384953.25</v>
      </c>
    </row>
    <row r="237" spans="1:8" x14ac:dyDescent="0.35">
      <c r="A237" s="164" t="s">
        <v>38</v>
      </c>
      <c r="B237" s="138">
        <v>164500</v>
      </c>
      <c r="C237" s="26">
        <v>163500</v>
      </c>
      <c r="D237" s="26">
        <v>137258.47</v>
      </c>
      <c r="E237" s="27">
        <f t="shared" si="37"/>
        <v>83.950134556574923</v>
      </c>
      <c r="F237" s="26">
        <v>127598.62</v>
      </c>
      <c r="G237" s="26">
        <v>127598.62</v>
      </c>
      <c r="H237" s="28">
        <f>C237-D237</f>
        <v>26241.53</v>
      </c>
    </row>
    <row r="238" spans="1:8" x14ac:dyDescent="0.35">
      <c r="A238" s="165" t="s">
        <v>39</v>
      </c>
      <c r="B238" s="140">
        <f>SUM(B239:B241)</f>
        <v>2012138</v>
      </c>
      <c r="C238" s="40">
        <f>SUM(C239:C241)</f>
        <v>1790226</v>
      </c>
      <c r="D238" s="40">
        <f>SUM(D239:D241)</f>
        <v>1158613.8099999998</v>
      </c>
      <c r="E238" s="41">
        <f t="shared" si="37"/>
        <v>64.718857283940679</v>
      </c>
      <c r="F238" s="41">
        <f>SUM(F239:F241)</f>
        <v>893704.8</v>
      </c>
      <c r="G238" s="40">
        <f>SUM(G239:G241)</f>
        <v>795860.7300000001</v>
      </c>
      <c r="H238" s="166">
        <f>SUM(H239:H241)</f>
        <v>631612.19000000018</v>
      </c>
    </row>
    <row r="239" spans="1:8" x14ac:dyDescent="0.35">
      <c r="A239" s="1" t="s">
        <v>41</v>
      </c>
      <c r="B239" s="65">
        <v>1797858</v>
      </c>
      <c r="C239" s="38">
        <v>1615946</v>
      </c>
      <c r="D239" s="38">
        <v>1155400.3799999999</v>
      </c>
      <c r="E239" s="27">
        <f t="shared" si="37"/>
        <v>71.499937497911432</v>
      </c>
      <c r="F239" s="26">
        <v>892137.38</v>
      </c>
      <c r="G239" s="38">
        <v>794966.06</v>
      </c>
      <c r="H239" s="167">
        <f>C239-D239</f>
        <v>460545.62000000011</v>
      </c>
    </row>
    <row r="240" spans="1:8" x14ac:dyDescent="0.35">
      <c r="A240" s="152" t="s">
        <v>43</v>
      </c>
      <c r="B240" s="65">
        <v>64280</v>
      </c>
      <c r="C240" s="38">
        <v>24280</v>
      </c>
      <c r="D240" s="38">
        <v>3213.43</v>
      </c>
      <c r="E240" s="27">
        <f t="shared" ref="E240:E241" si="38">D240/C240*100</f>
        <v>13.234884678747941</v>
      </c>
      <c r="F240" s="26">
        <v>1567.42</v>
      </c>
      <c r="G240" s="38">
        <v>894.67</v>
      </c>
      <c r="H240" s="167">
        <f>C240-D240</f>
        <v>21066.57</v>
      </c>
    </row>
    <row r="241" spans="1:8" x14ac:dyDescent="0.35">
      <c r="A241" s="168" t="s">
        <v>45</v>
      </c>
      <c r="B241" s="139">
        <v>150000</v>
      </c>
      <c r="C241" s="46">
        <v>150000</v>
      </c>
      <c r="D241" s="46">
        <v>0</v>
      </c>
      <c r="E241" s="31">
        <f t="shared" si="38"/>
        <v>0</v>
      </c>
      <c r="F241" s="31">
        <v>0</v>
      </c>
      <c r="G241" s="46">
        <v>0</v>
      </c>
      <c r="H241" s="66">
        <f>C241-D241</f>
        <v>150000</v>
      </c>
    </row>
    <row r="242" spans="1:8" x14ac:dyDescent="0.35">
      <c r="A242" s="162" t="s">
        <v>46</v>
      </c>
      <c r="B242" s="141">
        <f>SUM(B243:B246)</f>
        <v>5758400</v>
      </c>
      <c r="C242" s="9">
        <f>SUM(C243:C246)</f>
        <v>5670625</v>
      </c>
      <c r="D242" s="61">
        <f>SUM(D243:D246)</f>
        <v>4904542.6400000006</v>
      </c>
      <c r="E242" s="10">
        <f>D242/C242*100</f>
        <v>86.490336426760734</v>
      </c>
      <c r="F242" s="9">
        <f>SUM(F243:F246)</f>
        <v>2481090.17</v>
      </c>
      <c r="G242" s="9">
        <f>SUM(G243:G246)</f>
        <v>512786.54000000004</v>
      </c>
      <c r="H242" s="11">
        <f>SUM(H243:H246)</f>
        <v>766082.3600000001</v>
      </c>
    </row>
    <row r="243" spans="1:8" x14ac:dyDescent="0.35">
      <c r="A243" s="160" t="s">
        <v>48</v>
      </c>
      <c r="B243" s="64">
        <v>3600000</v>
      </c>
      <c r="C243" s="38">
        <v>3600000</v>
      </c>
      <c r="D243" s="55">
        <v>3600000</v>
      </c>
      <c r="E243" s="27">
        <v>0</v>
      </c>
      <c r="F243" s="55">
        <v>1800000</v>
      </c>
      <c r="G243" s="63">
        <v>0</v>
      </c>
      <c r="H243" s="28">
        <f>C243-D243</f>
        <v>0</v>
      </c>
    </row>
    <row r="244" spans="1:8" x14ac:dyDescent="0.35">
      <c r="A244" s="158" t="s">
        <v>50</v>
      </c>
      <c r="B244" s="64">
        <v>132600</v>
      </c>
      <c r="C244" s="38">
        <v>108350</v>
      </c>
      <c r="D244" s="64">
        <v>49144.58</v>
      </c>
      <c r="E244" s="27">
        <f>D244/C244*100</f>
        <v>45.357249653899402</v>
      </c>
      <c r="F244" s="138">
        <v>37243.9</v>
      </c>
      <c r="G244" s="65">
        <v>29232.55</v>
      </c>
      <c r="H244" s="28">
        <f>C244-D244</f>
        <v>59205.42</v>
      </c>
    </row>
    <row r="245" spans="1:8" x14ac:dyDescent="0.35">
      <c r="A245" s="158" t="s">
        <v>52</v>
      </c>
      <c r="B245" s="64">
        <v>1001800</v>
      </c>
      <c r="C245" s="38">
        <v>955425</v>
      </c>
      <c r="D245" s="64">
        <v>620373.31999999995</v>
      </c>
      <c r="E245" s="27">
        <f>D245/C245*100</f>
        <v>64.931660779234363</v>
      </c>
      <c r="F245" s="26">
        <v>343461.15</v>
      </c>
      <c r="G245" s="38">
        <v>285933.21000000002</v>
      </c>
      <c r="H245" s="28">
        <f>C245-D245</f>
        <v>335051.68000000005</v>
      </c>
    </row>
    <row r="246" spans="1:8" x14ac:dyDescent="0.35">
      <c r="A246" s="158" t="s">
        <v>54</v>
      </c>
      <c r="B246" s="64">
        <v>1024000</v>
      </c>
      <c r="C246" s="38">
        <v>1006850</v>
      </c>
      <c r="D246" s="63">
        <v>635024.74</v>
      </c>
      <c r="E246" s="27">
        <f>D246/C246*100</f>
        <v>63.070441475890149</v>
      </c>
      <c r="F246" s="26">
        <v>300385.12</v>
      </c>
      <c r="G246" s="38">
        <v>197620.78</v>
      </c>
      <c r="H246" s="28">
        <f>C246-D246</f>
        <v>371825.26</v>
      </c>
    </row>
    <row r="247" spans="1:8" x14ac:dyDescent="0.35">
      <c r="A247" s="162" t="s">
        <v>55</v>
      </c>
      <c r="B247" s="9">
        <f>SUM(B248)</f>
        <v>732900</v>
      </c>
      <c r="C247" s="9">
        <f>SUM(C248)</f>
        <v>693208</v>
      </c>
      <c r="D247" s="61">
        <f>SUM(D248)</f>
        <v>417667</v>
      </c>
      <c r="E247" s="10">
        <f t="shared" ref="E247" si="39">D247/C247*100</f>
        <v>60.25132427785023</v>
      </c>
      <c r="F247" s="9">
        <f>SUM(F248)</f>
        <v>222398.59</v>
      </c>
      <c r="G247" s="9">
        <f>SUM(G248)</f>
        <v>201199.21</v>
      </c>
      <c r="H247" s="11">
        <f>SUM(H248)</f>
        <v>275541</v>
      </c>
    </row>
    <row r="248" spans="1:8" x14ac:dyDescent="0.35">
      <c r="A248" s="160" t="s">
        <v>57</v>
      </c>
      <c r="B248" s="38">
        <v>732900</v>
      </c>
      <c r="C248" s="38">
        <v>693208</v>
      </c>
      <c r="D248" s="63">
        <v>417667</v>
      </c>
      <c r="E248" s="27">
        <f>D248/C248*100</f>
        <v>60.25132427785023</v>
      </c>
      <c r="F248" s="26">
        <v>222398.59</v>
      </c>
      <c r="G248" s="38">
        <v>201199.21</v>
      </c>
      <c r="H248" s="28">
        <f>C248-D248</f>
        <v>275541</v>
      </c>
    </row>
    <row r="249" spans="1:8" x14ac:dyDescent="0.35">
      <c r="A249" s="162" t="s">
        <v>58</v>
      </c>
      <c r="B249" s="9">
        <f>SUM(B250:B251)</f>
        <v>12064700</v>
      </c>
      <c r="C249" s="9">
        <f>SUM(C250:C251)</f>
        <v>9616462</v>
      </c>
      <c r="D249" s="9">
        <f>SUM(D250:D251)</f>
        <v>4388632.41</v>
      </c>
      <c r="E249" s="10">
        <f>D249/C249*100</f>
        <v>45.636663567120635</v>
      </c>
      <c r="F249" s="9">
        <f>SUM(F250:F251)</f>
        <v>2414159.5300000003</v>
      </c>
      <c r="G249" s="9">
        <f>SUM(G250:G251)</f>
        <v>2096359.19</v>
      </c>
      <c r="H249" s="11">
        <f>SUM(H250:H251)</f>
        <v>5227829.59</v>
      </c>
    </row>
    <row r="250" spans="1:8" x14ac:dyDescent="0.35">
      <c r="A250" s="161" t="s">
        <v>60</v>
      </c>
      <c r="B250" s="68">
        <f>9263379+361671</f>
        <v>9625050</v>
      </c>
      <c r="C250" s="68">
        <f>7090671+361671</f>
        <v>7452342</v>
      </c>
      <c r="D250" s="69">
        <f>2889122.17+119891.49</f>
        <v>3009013.66</v>
      </c>
      <c r="E250" s="70">
        <f>D250/C250*100</f>
        <v>40.376752167305256</v>
      </c>
      <c r="F250" s="179">
        <f>1099538.71+119891.49</f>
        <v>1219430.2</v>
      </c>
      <c r="G250" s="69">
        <f>874583.01+32216.84</f>
        <v>906799.85</v>
      </c>
      <c r="H250" s="28">
        <f>C250-D250</f>
        <v>4443328.34</v>
      </c>
    </row>
    <row r="251" spans="1:8" ht="15" thickBot="1" x14ac:dyDescent="0.4">
      <c r="A251" s="172" t="s">
        <v>60</v>
      </c>
      <c r="B251" s="74">
        <f>98000+2341650</f>
        <v>2439650</v>
      </c>
      <c r="C251" s="74">
        <f>98000+2066120</f>
        <v>2164120</v>
      </c>
      <c r="D251" s="75">
        <v>1379618.75</v>
      </c>
      <c r="E251" s="76">
        <f>D251/C251*100</f>
        <v>63.749641886771528</v>
      </c>
      <c r="F251" s="180">
        <v>1194729.33</v>
      </c>
      <c r="G251" s="75">
        <v>1189559.3400000001</v>
      </c>
      <c r="H251" s="77">
        <f>C251-D251</f>
        <v>784501.25</v>
      </c>
    </row>
    <row r="253" spans="1:8" ht="15" thickBot="1" x14ac:dyDescent="0.4"/>
    <row r="254" spans="1:8" x14ac:dyDescent="0.35">
      <c r="A254" s="205" t="s">
        <v>72</v>
      </c>
      <c r="B254" s="198"/>
      <c r="C254" s="198"/>
      <c r="D254" s="198"/>
      <c r="E254" s="198"/>
      <c r="F254" s="198"/>
      <c r="G254" s="198"/>
      <c r="H254" s="199"/>
    </row>
    <row r="255" spans="1:8" ht="58.5" thickBot="1" x14ac:dyDescent="0.4">
      <c r="A255" s="186" t="s">
        <v>1</v>
      </c>
      <c r="B255" s="187" t="s">
        <v>2</v>
      </c>
      <c r="C255" s="188" t="s">
        <v>3</v>
      </c>
      <c r="D255" s="187" t="s">
        <v>4</v>
      </c>
      <c r="E255" s="189" t="s">
        <v>5</v>
      </c>
      <c r="F255" s="189" t="s">
        <v>67</v>
      </c>
      <c r="G255" s="189" t="s">
        <v>68</v>
      </c>
      <c r="H255" s="190" t="s">
        <v>69</v>
      </c>
    </row>
    <row r="256" spans="1:8" x14ac:dyDescent="0.35">
      <c r="A256" s="157" t="s">
        <v>9</v>
      </c>
      <c r="B256" s="9">
        <f>B257+B265+B268+B270+B274+B278+B283+B285</f>
        <v>43689200</v>
      </c>
      <c r="C256" s="183">
        <f>C257+C265+C268+C270+C274+C278+C283+C285</f>
        <v>42461542</v>
      </c>
      <c r="D256" s="9">
        <f>D257+D265+D268+D270+D274+D278+D283+D285</f>
        <v>31844319.050000001</v>
      </c>
      <c r="E256" s="10">
        <f>D256/C256*100</f>
        <v>74.995672672462064</v>
      </c>
      <c r="F256" s="9">
        <f>F257+F265+F268+F270+F274+F278+F283+F285</f>
        <v>21152271.220000003</v>
      </c>
      <c r="G256" s="61">
        <f>G257+G265+G268+G270+G274+G278+G283+G285</f>
        <v>12224073.550000001</v>
      </c>
      <c r="H256" s="11">
        <f>H257+H265+H268+H270+H274+H278+H283+H285</f>
        <v>10617222.949999999</v>
      </c>
    </row>
    <row r="257" spans="1:8" x14ac:dyDescent="0.35">
      <c r="A257" s="159" t="s">
        <v>10</v>
      </c>
      <c r="B257" s="17">
        <f>SUM(B258:B264)</f>
        <v>11898500</v>
      </c>
      <c r="C257" s="185">
        <f>SUM(C258:C264)</f>
        <v>11760570</v>
      </c>
      <c r="D257" s="17">
        <f>SUM(D258:D264)</f>
        <v>10159635.810000001</v>
      </c>
      <c r="E257" s="18">
        <f t="shared" ref="E257:E264" si="40">D257/C257*100</f>
        <v>86.387273831115323</v>
      </c>
      <c r="F257" s="17">
        <f>SUM(F258:F264)</f>
        <v>6546665.8000000007</v>
      </c>
      <c r="G257" s="177">
        <f>SUM(G258:G264)</f>
        <v>2371268.8199999998</v>
      </c>
      <c r="H257" s="19">
        <f>SUM(H258:H264)</f>
        <v>1600934.1900000002</v>
      </c>
    </row>
    <row r="258" spans="1:8" x14ac:dyDescent="0.35">
      <c r="A258" s="160" t="s">
        <v>12</v>
      </c>
      <c r="B258" s="22">
        <v>5445000</v>
      </c>
      <c r="C258" s="179">
        <v>5445000</v>
      </c>
      <c r="D258" s="22">
        <v>5445000</v>
      </c>
      <c r="E258" s="23">
        <f t="shared" si="40"/>
        <v>100</v>
      </c>
      <c r="F258" s="22">
        <v>4000000</v>
      </c>
      <c r="G258" s="178">
        <v>0</v>
      </c>
      <c r="H258" s="24">
        <f t="shared" ref="H258:H264" si="41">C258-D258</f>
        <v>0</v>
      </c>
    </row>
    <row r="259" spans="1:8" x14ac:dyDescent="0.35">
      <c r="A259" s="160" t="s">
        <v>14</v>
      </c>
      <c r="B259" s="26">
        <v>2276910</v>
      </c>
      <c r="C259" s="179">
        <v>2274410</v>
      </c>
      <c r="D259" s="26">
        <v>1478862.42</v>
      </c>
      <c r="E259" s="23">
        <f t="shared" si="40"/>
        <v>65.021804336069565</v>
      </c>
      <c r="F259" s="22">
        <v>687294.98</v>
      </c>
      <c r="G259" s="55">
        <v>538407.9</v>
      </c>
      <c r="H259" s="28">
        <f t="shared" si="41"/>
        <v>795547.58000000007</v>
      </c>
    </row>
    <row r="260" spans="1:8" x14ac:dyDescent="0.35">
      <c r="A260" s="160" t="s">
        <v>16</v>
      </c>
      <c r="B260" s="26">
        <v>995000</v>
      </c>
      <c r="C260" s="179">
        <v>995000</v>
      </c>
      <c r="D260" s="26">
        <v>971000</v>
      </c>
      <c r="E260" s="23">
        <f t="shared" si="40"/>
        <v>97.587939698492463</v>
      </c>
      <c r="F260" s="22">
        <v>500000</v>
      </c>
      <c r="G260" s="55">
        <v>500000</v>
      </c>
      <c r="H260" s="28">
        <f t="shared" si="41"/>
        <v>24000</v>
      </c>
    </row>
    <row r="261" spans="1:8" x14ac:dyDescent="0.35">
      <c r="A261" s="160" t="s">
        <v>18</v>
      </c>
      <c r="B261" s="26">
        <v>500000</v>
      </c>
      <c r="C261" s="179">
        <v>499000</v>
      </c>
      <c r="D261" s="26">
        <v>370246.41</v>
      </c>
      <c r="E261" s="23">
        <f t="shared" si="40"/>
        <v>74.197677354709413</v>
      </c>
      <c r="F261" s="22">
        <v>204416</v>
      </c>
      <c r="G261" s="55">
        <v>204095</v>
      </c>
      <c r="H261" s="28">
        <f t="shared" si="41"/>
        <v>128753.59000000003</v>
      </c>
    </row>
    <row r="262" spans="1:8" x14ac:dyDescent="0.35">
      <c r="A262" s="160" t="s">
        <v>20</v>
      </c>
      <c r="B262" s="26">
        <v>675000</v>
      </c>
      <c r="C262" s="179">
        <v>675000</v>
      </c>
      <c r="D262" s="26">
        <v>428634</v>
      </c>
      <c r="E262" s="23">
        <f t="shared" si="40"/>
        <v>63.501333333333335</v>
      </c>
      <c r="F262" s="22">
        <v>248162.37</v>
      </c>
      <c r="G262" s="26">
        <v>248162.37</v>
      </c>
      <c r="H262" s="28">
        <f t="shared" si="41"/>
        <v>246366</v>
      </c>
    </row>
    <row r="263" spans="1:8" x14ac:dyDescent="0.35">
      <c r="A263" s="161" t="s">
        <v>22</v>
      </c>
      <c r="B263" s="26">
        <v>177490</v>
      </c>
      <c r="C263" s="179">
        <v>158460</v>
      </c>
      <c r="D263" s="26">
        <v>20517.59</v>
      </c>
      <c r="E263" s="23">
        <f t="shared" si="40"/>
        <v>12.948119399217466</v>
      </c>
      <c r="F263" s="22">
        <v>18169.669999999998</v>
      </c>
      <c r="G263" s="26">
        <v>16234.67</v>
      </c>
      <c r="H263" s="28">
        <f t="shared" si="41"/>
        <v>137942.41</v>
      </c>
    </row>
    <row r="264" spans="1:8" x14ac:dyDescent="0.35">
      <c r="A264" s="160" t="s">
        <v>24</v>
      </c>
      <c r="B264" s="26">
        <v>1829100</v>
      </c>
      <c r="C264" s="179">
        <v>1713700</v>
      </c>
      <c r="D264" s="26">
        <v>1445375.39</v>
      </c>
      <c r="E264" s="27">
        <f t="shared" si="40"/>
        <v>84.342381396977288</v>
      </c>
      <c r="F264" s="26">
        <v>888622.78</v>
      </c>
      <c r="G264" s="26">
        <v>864368.88</v>
      </c>
      <c r="H264" s="28">
        <f t="shared" si="41"/>
        <v>268324.6100000001</v>
      </c>
    </row>
    <row r="265" spans="1:8" x14ac:dyDescent="0.35">
      <c r="A265" s="159" t="s">
        <v>25</v>
      </c>
      <c r="B265" s="17">
        <f>SUM(B266:B267)</f>
        <v>775670</v>
      </c>
      <c r="C265" s="185">
        <f>SUM(C266:C267)</f>
        <v>775270</v>
      </c>
      <c r="D265" s="17">
        <f>SUM(D266:D267)</f>
        <v>662831.49</v>
      </c>
      <c r="E265" s="18">
        <f>D265/C265*100</f>
        <v>85.496857868871487</v>
      </c>
      <c r="F265" s="17">
        <f>SUM(F266:F267)</f>
        <v>543651.68999999994</v>
      </c>
      <c r="G265" s="17">
        <f>SUM(G266:G267)</f>
        <v>305292.08999999997</v>
      </c>
      <c r="H265" s="19">
        <f>SUM(H266:H267)</f>
        <v>112438.51000000001</v>
      </c>
    </row>
    <row r="266" spans="1:8" x14ac:dyDescent="0.35">
      <c r="A266" s="158" t="s">
        <v>27</v>
      </c>
      <c r="B266" s="33">
        <v>400670</v>
      </c>
      <c r="C266" s="69">
        <v>400670</v>
      </c>
      <c r="D266" s="22">
        <v>363785.25</v>
      </c>
      <c r="E266" s="23">
        <f>D266/C266*100</f>
        <v>90.794232161130111</v>
      </c>
      <c r="F266" s="22">
        <v>244605.45</v>
      </c>
      <c r="G266" s="22">
        <v>6245.85</v>
      </c>
      <c r="H266" s="34">
        <f>C266-D266</f>
        <v>36884.75</v>
      </c>
    </row>
    <row r="267" spans="1:8" x14ac:dyDescent="0.35">
      <c r="A267" s="158" t="s">
        <v>29</v>
      </c>
      <c r="B267" s="33">
        <v>375000</v>
      </c>
      <c r="C267" s="69">
        <v>374600</v>
      </c>
      <c r="D267" s="22">
        <v>299046.24</v>
      </c>
      <c r="E267" s="23">
        <f>D267/C267*100</f>
        <v>79.830816871329418</v>
      </c>
      <c r="F267" s="22">
        <v>299046.24</v>
      </c>
      <c r="G267" s="22">
        <v>299046.24</v>
      </c>
      <c r="H267" s="34">
        <f>C267-D267</f>
        <v>75553.760000000009</v>
      </c>
    </row>
    <row r="268" spans="1:8" x14ac:dyDescent="0.35">
      <c r="A268" s="162" t="s">
        <v>30</v>
      </c>
      <c r="B268" s="9">
        <f>SUM(B269)</f>
        <v>2500000</v>
      </c>
      <c r="C268" s="183">
        <f>SUM(C269)</f>
        <v>2500000</v>
      </c>
      <c r="D268" s="9">
        <f>SUM(D269)</f>
        <v>2500000</v>
      </c>
      <c r="E268" s="10">
        <v>0</v>
      </c>
      <c r="F268" s="40">
        <f>SUM(F269)</f>
        <v>2000000</v>
      </c>
      <c r="G268" s="61">
        <f>G269</f>
        <v>1250000</v>
      </c>
      <c r="H268" s="34">
        <f>C268-D268</f>
        <v>0</v>
      </c>
    </row>
    <row r="269" spans="1:8" x14ac:dyDescent="0.35">
      <c r="A269" s="158" t="s">
        <v>30</v>
      </c>
      <c r="B269" s="38">
        <v>2500000</v>
      </c>
      <c r="C269" s="69">
        <v>2500000</v>
      </c>
      <c r="D269" s="38">
        <v>2500000</v>
      </c>
      <c r="E269" s="23">
        <v>0</v>
      </c>
      <c r="F269" s="22">
        <v>2000000</v>
      </c>
      <c r="G269" s="63">
        <v>1250000</v>
      </c>
      <c r="H269" s="34">
        <f>C269-D269</f>
        <v>0</v>
      </c>
    </row>
    <row r="270" spans="1:8" x14ac:dyDescent="0.35">
      <c r="A270" s="159" t="s">
        <v>32</v>
      </c>
      <c r="B270" s="40">
        <f>SUM(B271:B273)</f>
        <v>7922892</v>
      </c>
      <c r="C270" s="185">
        <f>SUM(C271:C273)</f>
        <v>7753364</v>
      </c>
      <c r="D270" s="40">
        <f>SUM(D271:D273)</f>
        <v>5934677.0099999998</v>
      </c>
      <c r="E270" s="41">
        <f t="shared" ref="E270:E278" si="42">D270/C270*100</f>
        <v>76.543252838380866</v>
      </c>
      <c r="F270" s="40">
        <f>SUM(F271:F273)</f>
        <v>3773435.6300000004</v>
      </c>
      <c r="G270" s="52">
        <f>SUM(G271:G273)</f>
        <v>3459199.09</v>
      </c>
      <c r="H270" s="11">
        <f>SUM(H271:H273)</f>
        <v>1818686.99</v>
      </c>
    </row>
    <row r="271" spans="1:8" x14ac:dyDescent="0.35">
      <c r="A271" s="158" t="s">
        <v>34</v>
      </c>
      <c r="B271" s="26">
        <v>2542500</v>
      </c>
      <c r="C271" s="179">
        <v>2517699</v>
      </c>
      <c r="D271" s="26">
        <v>2140103.4900000002</v>
      </c>
      <c r="E271" s="27">
        <f t="shared" si="42"/>
        <v>85.002356913991719</v>
      </c>
      <c r="F271" s="26">
        <v>1330035.6100000001</v>
      </c>
      <c r="G271" s="55">
        <v>1201424.7</v>
      </c>
      <c r="H271" s="28">
        <f>C271-D271</f>
        <v>377595.50999999978</v>
      </c>
    </row>
    <row r="272" spans="1:8" x14ac:dyDescent="0.35">
      <c r="A272" s="163" t="s">
        <v>36</v>
      </c>
      <c r="B272" s="26">
        <v>5199892</v>
      </c>
      <c r="C272" s="179">
        <v>5055565</v>
      </c>
      <c r="D272" s="26">
        <v>3656182.76</v>
      </c>
      <c r="E272" s="27">
        <f t="shared" si="42"/>
        <v>72.319963446222118</v>
      </c>
      <c r="F272" s="26">
        <v>2313969</v>
      </c>
      <c r="G272" s="26">
        <v>2129507.52</v>
      </c>
      <c r="H272" s="28">
        <f>C272-D272</f>
        <v>1399382.2400000002</v>
      </c>
    </row>
    <row r="273" spans="1:8" x14ac:dyDescent="0.35">
      <c r="A273" s="164" t="s">
        <v>38</v>
      </c>
      <c r="B273" s="138">
        <v>180500</v>
      </c>
      <c r="C273" s="179">
        <v>180100</v>
      </c>
      <c r="D273" s="26">
        <v>138390.76</v>
      </c>
      <c r="E273" s="27">
        <f t="shared" si="42"/>
        <v>76.841066074403116</v>
      </c>
      <c r="F273" s="26">
        <v>129431.02</v>
      </c>
      <c r="G273" s="26">
        <v>128266.87</v>
      </c>
      <c r="H273" s="28">
        <f>C273-D273</f>
        <v>41709.239999999991</v>
      </c>
    </row>
    <row r="274" spans="1:8" x14ac:dyDescent="0.35">
      <c r="A274" s="165" t="s">
        <v>39</v>
      </c>
      <c r="B274" s="140">
        <f>SUM(B275:B277)</f>
        <v>2125638</v>
      </c>
      <c r="C274" s="185">
        <f>SUM(C275:C277)</f>
        <v>2070724</v>
      </c>
      <c r="D274" s="40">
        <f>SUM(D275:D277)</f>
        <v>1711370.91</v>
      </c>
      <c r="E274" s="41">
        <f t="shared" si="42"/>
        <v>82.646017045246012</v>
      </c>
      <c r="F274" s="41">
        <f>SUM(F275:F277)</f>
        <v>961998.65</v>
      </c>
      <c r="G274" s="40">
        <f>SUM(G275:G277)</f>
        <v>911903.91</v>
      </c>
      <c r="H274" s="166">
        <f>SUM(H275:H277)</f>
        <v>359353.09</v>
      </c>
    </row>
    <row r="275" spans="1:8" x14ac:dyDescent="0.35">
      <c r="A275" s="1" t="s">
        <v>41</v>
      </c>
      <c r="B275" s="65">
        <v>1797858</v>
      </c>
      <c r="C275" s="69">
        <v>1748944</v>
      </c>
      <c r="D275" s="38">
        <v>1407414.98</v>
      </c>
      <c r="E275" s="27">
        <f t="shared" si="42"/>
        <v>80.472272411237867</v>
      </c>
      <c r="F275" s="26">
        <v>958785.23</v>
      </c>
      <c r="G275" s="38">
        <v>909160.49</v>
      </c>
      <c r="H275" s="167">
        <f>C275-D275</f>
        <v>341529.02</v>
      </c>
    </row>
    <row r="276" spans="1:8" x14ac:dyDescent="0.35">
      <c r="A276" s="152" t="s">
        <v>43</v>
      </c>
      <c r="B276" s="65">
        <v>27780</v>
      </c>
      <c r="C276" s="69">
        <v>21780</v>
      </c>
      <c r="D276" s="38">
        <v>3955.93</v>
      </c>
      <c r="E276" s="27">
        <f t="shared" si="42"/>
        <v>18.163131313131313</v>
      </c>
      <c r="F276" s="26">
        <v>3213.42</v>
      </c>
      <c r="G276" s="38">
        <v>2743.42</v>
      </c>
      <c r="H276" s="167">
        <f>C276-D276</f>
        <v>17824.07</v>
      </c>
    </row>
    <row r="277" spans="1:8" x14ac:dyDescent="0.35">
      <c r="A277" s="168" t="s">
        <v>45</v>
      </c>
      <c r="B277" s="139">
        <v>300000</v>
      </c>
      <c r="C277" s="184">
        <v>300000</v>
      </c>
      <c r="D277" s="46">
        <v>300000</v>
      </c>
      <c r="E277" s="31">
        <f t="shared" si="42"/>
        <v>100</v>
      </c>
      <c r="F277" s="31">
        <v>0</v>
      </c>
      <c r="G277" s="46">
        <v>0</v>
      </c>
      <c r="H277" s="66">
        <f>C277-D277</f>
        <v>0</v>
      </c>
    </row>
    <row r="278" spans="1:8" x14ac:dyDescent="0.35">
      <c r="A278" s="162" t="s">
        <v>46</v>
      </c>
      <c r="B278" s="141">
        <f>SUM(B279:B282)</f>
        <v>5799400</v>
      </c>
      <c r="C278" s="183">
        <f>SUM(C279:C282)</f>
        <v>5792970</v>
      </c>
      <c r="D278" s="61">
        <f>SUM(D279:D282)</f>
        <v>5011579.74</v>
      </c>
      <c r="E278" s="10">
        <f t="shared" si="42"/>
        <v>86.511405030580164</v>
      </c>
      <c r="F278" s="9">
        <f>SUM(F279:F282)</f>
        <v>3703288.36</v>
      </c>
      <c r="G278" s="9">
        <f>SUM(G279:G282)</f>
        <v>1361439.97</v>
      </c>
      <c r="H278" s="11">
        <f>SUM(H279:H282)</f>
        <v>781390.26</v>
      </c>
    </row>
    <row r="279" spans="1:8" x14ac:dyDescent="0.35">
      <c r="A279" s="160" t="s">
        <v>48</v>
      </c>
      <c r="B279" s="64">
        <v>3600000</v>
      </c>
      <c r="C279" s="69">
        <v>3600000</v>
      </c>
      <c r="D279" s="55">
        <v>3600000</v>
      </c>
      <c r="E279" s="27">
        <v>0</v>
      </c>
      <c r="F279" s="55">
        <v>2880000</v>
      </c>
      <c r="G279" s="63">
        <v>720000</v>
      </c>
      <c r="H279" s="28">
        <f>C279-D279</f>
        <v>0</v>
      </c>
    </row>
    <row r="280" spans="1:8" x14ac:dyDescent="0.35">
      <c r="A280" s="158" t="s">
        <v>50</v>
      </c>
      <c r="B280" s="64">
        <v>128600</v>
      </c>
      <c r="C280" s="69">
        <v>127700</v>
      </c>
      <c r="D280" s="64">
        <v>57297.18</v>
      </c>
      <c r="E280" s="27">
        <f t="shared" ref="E280:E287" si="43">D280/C280*100</f>
        <v>44.86858261550509</v>
      </c>
      <c r="F280" s="138">
        <v>49902.65</v>
      </c>
      <c r="G280" s="65">
        <v>40890.050000000003</v>
      </c>
      <c r="H280" s="28">
        <f>C280-D280</f>
        <v>70402.820000000007</v>
      </c>
    </row>
    <row r="281" spans="1:8" x14ac:dyDescent="0.35">
      <c r="A281" s="158" t="s">
        <v>52</v>
      </c>
      <c r="B281" s="64">
        <v>1007800</v>
      </c>
      <c r="C281" s="69">
        <v>1004270</v>
      </c>
      <c r="D281" s="64">
        <v>687575.68</v>
      </c>
      <c r="E281" s="27">
        <f t="shared" si="43"/>
        <v>68.465221504177165</v>
      </c>
      <c r="F281" s="26">
        <v>359654.54</v>
      </c>
      <c r="G281" s="38">
        <v>311268.34999999998</v>
      </c>
      <c r="H281" s="28">
        <f>C281-D281</f>
        <v>316694.31999999995</v>
      </c>
    </row>
    <row r="282" spans="1:8" x14ac:dyDescent="0.35">
      <c r="A282" s="158" t="s">
        <v>54</v>
      </c>
      <c r="B282" s="64">
        <v>1063000</v>
      </c>
      <c r="C282" s="69">
        <v>1061000</v>
      </c>
      <c r="D282" s="63">
        <v>666706.88</v>
      </c>
      <c r="E282" s="27">
        <f t="shared" si="43"/>
        <v>62.837594721960407</v>
      </c>
      <c r="F282" s="26">
        <v>413731.17</v>
      </c>
      <c r="G282" s="38">
        <v>289281.57</v>
      </c>
      <c r="H282" s="28">
        <f>C282-D282</f>
        <v>394293.12</v>
      </c>
    </row>
    <row r="283" spans="1:8" x14ac:dyDescent="0.35">
      <c r="A283" s="162" t="s">
        <v>55</v>
      </c>
      <c r="B283" s="9">
        <f>SUM(B284)</f>
        <v>602400</v>
      </c>
      <c r="C283" s="183">
        <f>SUM(C284)</f>
        <v>599683</v>
      </c>
      <c r="D283" s="61">
        <f>SUM(D284)</f>
        <v>504872.52</v>
      </c>
      <c r="E283" s="10">
        <f t="shared" si="43"/>
        <v>84.189900330674703</v>
      </c>
      <c r="F283" s="9">
        <f>SUM(F284)</f>
        <v>305911.37</v>
      </c>
      <c r="G283" s="9">
        <f>SUM(G284)</f>
        <v>282203.38</v>
      </c>
      <c r="H283" s="11">
        <f>SUM(H284)</f>
        <v>94810.479999999981</v>
      </c>
    </row>
    <row r="284" spans="1:8" x14ac:dyDescent="0.35">
      <c r="A284" s="160" t="s">
        <v>57</v>
      </c>
      <c r="B284" s="38">
        <v>602400</v>
      </c>
      <c r="C284" s="69">
        <v>599683</v>
      </c>
      <c r="D284" s="63">
        <v>504872.52</v>
      </c>
      <c r="E284" s="27">
        <f t="shared" si="43"/>
        <v>84.189900330674703</v>
      </c>
      <c r="F284" s="26">
        <v>305911.37</v>
      </c>
      <c r="G284" s="38">
        <v>282203.38</v>
      </c>
      <c r="H284" s="28">
        <f>C284-D284</f>
        <v>94810.479999999981</v>
      </c>
    </row>
    <row r="285" spans="1:8" x14ac:dyDescent="0.35">
      <c r="A285" s="162" t="s">
        <v>58</v>
      </c>
      <c r="B285" s="9">
        <f>SUM(B286:B287)</f>
        <v>12064700</v>
      </c>
      <c r="C285" s="183">
        <f>SUM(C286:C287)</f>
        <v>11208961</v>
      </c>
      <c r="D285" s="9">
        <f>SUM(D286:D287)</f>
        <v>5359351.57</v>
      </c>
      <c r="E285" s="10">
        <f t="shared" si="43"/>
        <v>47.813098555700215</v>
      </c>
      <c r="F285" s="9">
        <f>SUM(F286:F287)</f>
        <v>3317319.7199999997</v>
      </c>
      <c r="G285" s="9">
        <f>SUM(G286:G287)</f>
        <v>2282766.29</v>
      </c>
      <c r="H285" s="11">
        <f>SUM(H286:H287)</f>
        <v>5849609.4300000006</v>
      </c>
    </row>
    <row r="286" spans="1:8" x14ac:dyDescent="0.35">
      <c r="A286" s="161" t="s">
        <v>60</v>
      </c>
      <c r="B286" s="68">
        <f>9263379+361671</f>
        <v>9625050</v>
      </c>
      <c r="C286" s="182">
        <f>8512879+361671</f>
        <v>8874550</v>
      </c>
      <c r="D286" s="69">
        <f>3589037.11+143264</f>
        <v>3732301.11</v>
      </c>
      <c r="E286" s="70">
        <f t="shared" si="43"/>
        <v>42.056229442619625</v>
      </c>
      <c r="F286" s="179">
        <f>1936628.91+143264</f>
        <v>2079892.91</v>
      </c>
      <c r="G286" s="69">
        <f>1047432.81+39287.16</f>
        <v>1086719.97</v>
      </c>
      <c r="H286" s="28">
        <f>C286-D286</f>
        <v>5142248.8900000006</v>
      </c>
    </row>
    <row r="287" spans="1:8" ht="15" thickBot="1" x14ac:dyDescent="0.4">
      <c r="A287" s="172" t="s">
        <v>60</v>
      </c>
      <c r="B287" s="74">
        <f>98000+2341650</f>
        <v>2439650</v>
      </c>
      <c r="C287" s="181">
        <f>98000+2236411</f>
        <v>2334411</v>
      </c>
      <c r="D287" s="75">
        <v>1627050.46</v>
      </c>
      <c r="E287" s="76">
        <f t="shared" si="43"/>
        <v>69.69854322996251</v>
      </c>
      <c r="F287" s="180">
        <v>1237426.81</v>
      </c>
      <c r="G287" s="75">
        <v>1196046.32</v>
      </c>
      <c r="H287" s="77">
        <f>C287-D287</f>
        <v>707360.54</v>
      </c>
    </row>
    <row r="289" spans="1:8" ht="15" thickBot="1" x14ac:dyDescent="0.4"/>
    <row r="290" spans="1:8" ht="15" thickBot="1" x14ac:dyDescent="0.4">
      <c r="A290" s="205" t="s">
        <v>73</v>
      </c>
      <c r="B290" s="198"/>
      <c r="C290" s="198"/>
      <c r="D290" s="198"/>
      <c r="E290" s="198"/>
      <c r="F290" s="198"/>
      <c r="G290" s="198"/>
      <c r="H290" s="199"/>
    </row>
    <row r="291" spans="1:8" ht="58.5" thickBot="1" x14ac:dyDescent="0.4">
      <c r="A291" s="173" t="s">
        <v>1</v>
      </c>
      <c r="B291" s="174" t="s">
        <v>2</v>
      </c>
      <c r="C291" s="191" t="s">
        <v>3</v>
      </c>
      <c r="D291" s="174" t="s">
        <v>4</v>
      </c>
      <c r="E291" s="175" t="s">
        <v>5</v>
      </c>
      <c r="F291" s="175" t="s">
        <v>67</v>
      </c>
      <c r="G291" s="175" t="s">
        <v>68</v>
      </c>
      <c r="H291" s="176" t="s">
        <v>69</v>
      </c>
    </row>
    <row r="292" spans="1:8" x14ac:dyDescent="0.35">
      <c r="A292" s="157" t="s">
        <v>9</v>
      </c>
      <c r="B292" s="9">
        <f>B293+B301+B304+B306+B310+B314+B319+B321</f>
        <v>43689200</v>
      </c>
      <c r="C292" s="183">
        <f>C293+C301+C304+C306+C310+C314+C319+C321</f>
        <v>42656885</v>
      </c>
      <c r="D292" s="9">
        <f>D293+D301+D304+D306+D310+D314+D319+D321</f>
        <v>33406584.890000001</v>
      </c>
      <c r="E292" s="10">
        <f>D292/C292*100</f>
        <v>78.314637578435466</v>
      </c>
      <c r="F292" s="9">
        <f>F293+F301+F304+F306+F310+F314+F319+F321</f>
        <v>24641128.649999999</v>
      </c>
      <c r="G292" s="61">
        <f>G293+G301+G304+G306+G310+G314+G319+G321</f>
        <v>14905626.620000001</v>
      </c>
      <c r="H292" s="11">
        <f>H293+H301+H304+H306+H310+H314+H319+H321</f>
        <v>9250300.1100000013</v>
      </c>
    </row>
    <row r="293" spans="1:8" x14ac:dyDescent="0.35">
      <c r="A293" s="159" t="s">
        <v>10</v>
      </c>
      <c r="B293" s="17">
        <f>SUM(B294:B300)</f>
        <v>11898500</v>
      </c>
      <c r="C293" s="185">
        <f>SUM(C294:C300)</f>
        <v>11881850</v>
      </c>
      <c r="D293" s="17">
        <f>SUM(D294:D300)</f>
        <v>10859632.75</v>
      </c>
      <c r="E293" s="18">
        <f t="shared" ref="E293:E300" si="44">D293/C293*100</f>
        <v>91.396817414796516</v>
      </c>
      <c r="F293" s="17">
        <f>SUM(F294:F300)</f>
        <v>7922431.0700000003</v>
      </c>
      <c r="G293" s="177">
        <f>SUM(G294:G300)</f>
        <v>2587289.7999999998</v>
      </c>
      <c r="H293" s="19">
        <f>SUM(H294:H300)</f>
        <v>1022217.2500000002</v>
      </c>
    </row>
    <row r="294" spans="1:8" x14ac:dyDescent="0.35">
      <c r="A294" s="160" t="s">
        <v>12</v>
      </c>
      <c r="B294" s="22">
        <v>5445000</v>
      </c>
      <c r="C294" s="179">
        <v>5445000</v>
      </c>
      <c r="D294" s="22">
        <v>5445000</v>
      </c>
      <c r="E294" s="23">
        <f>D294/C294*100</f>
        <v>100</v>
      </c>
      <c r="F294" s="22">
        <v>5000000</v>
      </c>
      <c r="G294" s="178">
        <v>0</v>
      </c>
      <c r="H294" s="24">
        <f t="shared" ref="H294:H300" si="45">C294-D294</f>
        <v>0</v>
      </c>
    </row>
    <row r="295" spans="1:8" x14ac:dyDescent="0.35">
      <c r="A295" s="160" t="s">
        <v>14</v>
      </c>
      <c r="B295" s="26">
        <v>2276910</v>
      </c>
      <c r="C295" s="179">
        <v>2274410</v>
      </c>
      <c r="D295" s="26">
        <v>1921676.49</v>
      </c>
      <c r="E295" s="23">
        <f t="shared" ref="E295:E299" si="46">D295/C295*100</f>
        <v>84.491208269397333</v>
      </c>
      <c r="F295" s="22">
        <v>895003.64</v>
      </c>
      <c r="G295" s="55">
        <v>674072.98</v>
      </c>
      <c r="H295" s="28">
        <f t="shared" si="45"/>
        <v>352733.51</v>
      </c>
    </row>
    <row r="296" spans="1:8" x14ac:dyDescent="0.35">
      <c r="A296" s="160" t="s">
        <v>16</v>
      </c>
      <c r="B296" s="26">
        <v>995000</v>
      </c>
      <c r="C296" s="179">
        <v>995000</v>
      </c>
      <c r="D296" s="26">
        <v>971000</v>
      </c>
      <c r="E296" s="23">
        <f t="shared" si="46"/>
        <v>97.587939698492463</v>
      </c>
      <c r="F296" s="22">
        <v>530000</v>
      </c>
      <c r="G296" s="55">
        <v>530000</v>
      </c>
      <c r="H296" s="28">
        <f t="shared" si="45"/>
        <v>24000</v>
      </c>
    </row>
    <row r="297" spans="1:8" x14ac:dyDescent="0.35">
      <c r="A297" s="160" t="s">
        <v>18</v>
      </c>
      <c r="B297" s="26">
        <v>500000</v>
      </c>
      <c r="C297" s="179">
        <v>499000</v>
      </c>
      <c r="D297" s="26">
        <v>370246.41</v>
      </c>
      <c r="E297" s="23">
        <f t="shared" si="46"/>
        <v>74.197677354709413</v>
      </c>
      <c r="F297" s="22">
        <v>229090.41</v>
      </c>
      <c r="G297" s="55">
        <v>204416</v>
      </c>
      <c r="H297" s="28">
        <f t="shared" si="45"/>
        <v>128753.59000000003</v>
      </c>
    </row>
    <row r="298" spans="1:8" x14ac:dyDescent="0.35">
      <c r="A298" s="160" t="s">
        <v>20</v>
      </c>
      <c r="B298" s="26">
        <v>675000</v>
      </c>
      <c r="C298" s="179">
        <v>675000</v>
      </c>
      <c r="D298" s="26">
        <v>449574</v>
      </c>
      <c r="E298" s="23">
        <f t="shared" si="46"/>
        <v>66.603555555555559</v>
      </c>
      <c r="F298" s="22">
        <v>299756.37</v>
      </c>
      <c r="G298" s="26">
        <v>248162.37</v>
      </c>
      <c r="H298" s="28">
        <f t="shared" si="45"/>
        <v>225426</v>
      </c>
    </row>
    <row r="299" spans="1:8" x14ac:dyDescent="0.35">
      <c r="A299" s="161" t="s">
        <v>22</v>
      </c>
      <c r="B299" s="26">
        <v>177490</v>
      </c>
      <c r="C299" s="179">
        <v>169840</v>
      </c>
      <c r="D299" s="26">
        <v>57874.22</v>
      </c>
      <c r="E299" s="23">
        <f t="shared" si="46"/>
        <v>34.07573009891663</v>
      </c>
      <c r="F299" s="22">
        <v>19457.87</v>
      </c>
      <c r="G299" s="26">
        <v>18515.669999999998</v>
      </c>
      <c r="H299" s="28">
        <f t="shared" si="45"/>
        <v>111965.78</v>
      </c>
    </row>
    <row r="300" spans="1:8" x14ac:dyDescent="0.35">
      <c r="A300" s="160" t="s">
        <v>24</v>
      </c>
      <c r="B300" s="26">
        <v>1829100</v>
      </c>
      <c r="C300" s="179">
        <v>1823600</v>
      </c>
      <c r="D300" s="26">
        <v>1644261.63</v>
      </c>
      <c r="E300" s="27">
        <f t="shared" si="44"/>
        <v>90.165695876288652</v>
      </c>
      <c r="F300" s="26">
        <v>949122.78</v>
      </c>
      <c r="G300" s="26">
        <v>912122.78</v>
      </c>
      <c r="H300" s="28">
        <f t="shared" si="45"/>
        <v>179338.37000000011</v>
      </c>
    </row>
    <row r="301" spans="1:8" x14ac:dyDescent="0.35">
      <c r="A301" s="159" t="s">
        <v>25</v>
      </c>
      <c r="B301" s="17">
        <f>SUM(B302:B303)</f>
        <v>775670</v>
      </c>
      <c r="C301" s="185">
        <f t="shared" ref="C301:D301" si="47">SUM(C302:C303)</f>
        <v>775270</v>
      </c>
      <c r="D301" s="17">
        <f t="shared" si="47"/>
        <v>662831.49</v>
      </c>
      <c r="E301" s="18">
        <f t="shared" ref="E301:E311" si="48">D301/C301*100</f>
        <v>85.496857868871487</v>
      </c>
      <c r="F301" s="17">
        <f>SUM(F302:F303)</f>
        <v>543651.68999999994</v>
      </c>
      <c r="G301" s="17">
        <f>SUM(G302:G303)</f>
        <v>305292.08999999997</v>
      </c>
      <c r="H301" s="19">
        <f>SUM(H302:H303)</f>
        <v>112438.51000000001</v>
      </c>
    </row>
    <row r="302" spans="1:8" x14ac:dyDescent="0.35">
      <c r="A302" s="158" t="s">
        <v>27</v>
      </c>
      <c r="B302" s="33">
        <v>400670</v>
      </c>
      <c r="C302" s="69">
        <v>400670</v>
      </c>
      <c r="D302" s="22">
        <v>363785.25</v>
      </c>
      <c r="E302" s="23">
        <f t="shared" si="48"/>
        <v>90.794232161130111</v>
      </c>
      <c r="F302" s="22">
        <v>244605.45</v>
      </c>
      <c r="G302" s="22">
        <v>6245.85</v>
      </c>
      <c r="H302" s="34">
        <f>C302-D302</f>
        <v>36884.75</v>
      </c>
    </row>
    <row r="303" spans="1:8" x14ac:dyDescent="0.35">
      <c r="A303" s="158" t="s">
        <v>29</v>
      </c>
      <c r="B303" s="33">
        <v>375000</v>
      </c>
      <c r="C303" s="69">
        <v>374600</v>
      </c>
      <c r="D303" s="22">
        <v>299046.24</v>
      </c>
      <c r="E303" s="23">
        <f t="shared" si="48"/>
        <v>79.830816871329418</v>
      </c>
      <c r="F303" s="22">
        <v>299046.24</v>
      </c>
      <c r="G303" s="22">
        <v>299046.24</v>
      </c>
      <c r="H303" s="34">
        <f>C303-D303</f>
        <v>75553.760000000009</v>
      </c>
    </row>
    <row r="304" spans="1:8" x14ac:dyDescent="0.35">
      <c r="A304" s="162" t="s">
        <v>30</v>
      </c>
      <c r="B304" s="9">
        <f>SUM(B305)</f>
        <v>2500000</v>
      </c>
      <c r="C304" s="183">
        <f>SUM(C305)</f>
        <v>2500000</v>
      </c>
      <c r="D304" s="9">
        <f>SUM(D305)</f>
        <v>2500000</v>
      </c>
      <c r="E304" s="10">
        <f t="shared" si="48"/>
        <v>100</v>
      </c>
      <c r="F304" s="40">
        <f>SUM(F305)</f>
        <v>2500000</v>
      </c>
      <c r="G304" s="61">
        <f>G305</f>
        <v>1250000</v>
      </c>
      <c r="H304" s="34">
        <f t="shared" ref="H304:H305" si="49">C304-D304</f>
        <v>0</v>
      </c>
    </row>
    <row r="305" spans="1:8" x14ac:dyDescent="0.35">
      <c r="A305" s="158" t="s">
        <v>30</v>
      </c>
      <c r="B305" s="38">
        <v>2500000</v>
      </c>
      <c r="C305" s="69">
        <v>2500000</v>
      </c>
      <c r="D305" s="38">
        <v>2500000</v>
      </c>
      <c r="E305" s="23">
        <f t="shared" si="48"/>
        <v>100</v>
      </c>
      <c r="F305" s="22">
        <v>2500000</v>
      </c>
      <c r="G305" s="63">
        <v>1250000</v>
      </c>
      <c r="H305" s="34">
        <f t="shared" si="49"/>
        <v>0</v>
      </c>
    </row>
    <row r="306" spans="1:8" x14ac:dyDescent="0.35">
      <c r="A306" s="159" t="s">
        <v>32</v>
      </c>
      <c r="B306" s="40">
        <f>SUM(B307:B309)</f>
        <v>7896892</v>
      </c>
      <c r="C306" s="185">
        <f>SUM(C307:C309)</f>
        <v>7735368</v>
      </c>
      <c r="D306" s="40">
        <f>SUM(D307:D309)</f>
        <v>6267764.2699999996</v>
      </c>
      <c r="E306" s="41">
        <f t="shared" si="48"/>
        <v>81.02735732805472</v>
      </c>
      <c r="F306" s="40">
        <f>SUM(F307:F309)</f>
        <v>4028686.4499999997</v>
      </c>
      <c r="G306" s="52">
        <f>SUM(G307:G309)</f>
        <v>3672805.2899999996</v>
      </c>
      <c r="H306" s="11">
        <f>SUM(H307:H309)</f>
        <v>1467603.7300000002</v>
      </c>
    </row>
    <row r="307" spans="1:8" x14ac:dyDescent="0.35">
      <c r="A307" s="158" t="s">
        <v>34</v>
      </c>
      <c r="B307" s="26">
        <v>2516500</v>
      </c>
      <c r="C307" s="179">
        <v>2497095</v>
      </c>
      <c r="D307" s="26">
        <v>2239715.96</v>
      </c>
      <c r="E307" s="27">
        <f t="shared" si="48"/>
        <v>89.69286150506889</v>
      </c>
      <c r="F307" s="26">
        <v>1373495.68</v>
      </c>
      <c r="G307" s="55">
        <v>1211590.24</v>
      </c>
      <c r="H307" s="28">
        <f>C307-D307</f>
        <v>257379.04000000004</v>
      </c>
    </row>
    <row r="308" spans="1:8" x14ac:dyDescent="0.35">
      <c r="A308" s="163" t="s">
        <v>36</v>
      </c>
      <c r="B308" s="26">
        <v>5199892</v>
      </c>
      <c r="C308" s="179">
        <v>5058173</v>
      </c>
      <c r="D308" s="26">
        <v>3889423.55</v>
      </c>
      <c r="E308" s="27">
        <f t="shared" si="48"/>
        <v>76.893841906949405</v>
      </c>
      <c r="F308" s="26">
        <v>2525525.75</v>
      </c>
      <c r="G308" s="26">
        <v>2331586.0299999998</v>
      </c>
      <c r="H308" s="28">
        <f>C308-D308</f>
        <v>1168749.4500000002</v>
      </c>
    </row>
    <row r="309" spans="1:8" x14ac:dyDescent="0.35">
      <c r="A309" s="164" t="s">
        <v>38</v>
      </c>
      <c r="B309" s="138">
        <v>180500</v>
      </c>
      <c r="C309" s="179">
        <v>180100</v>
      </c>
      <c r="D309" s="26">
        <v>138624.76</v>
      </c>
      <c r="E309" s="27">
        <f t="shared" si="48"/>
        <v>76.970993892282067</v>
      </c>
      <c r="F309" s="26">
        <v>129665.02</v>
      </c>
      <c r="G309" s="26">
        <v>129629.02</v>
      </c>
      <c r="H309" s="28">
        <f>C309-D309</f>
        <v>41475.239999999991</v>
      </c>
    </row>
    <row r="310" spans="1:8" x14ac:dyDescent="0.35">
      <c r="A310" s="165" t="s">
        <v>39</v>
      </c>
      <c r="B310" s="140">
        <f>SUM(B311:B313)</f>
        <v>2125638</v>
      </c>
      <c r="C310" s="185">
        <f>SUM(C311:C313)</f>
        <v>2076650</v>
      </c>
      <c r="D310" s="40">
        <f>SUM(D311:D313)</f>
        <v>1795424.19</v>
      </c>
      <c r="E310" s="41">
        <f t="shared" si="48"/>
        <v>86.457717477668368</v>
      </c>
      <c r="F310" s="41">
        <f>SUM(F311:F313)</f>
        <v>1030693.4800000001</v>
      </c>
      <c r="G310" s="40">
        <f>SUM(G311:G313)</f>
        <v>942530.15</v>
      </c>
      <c r="H310" s="166">
        <f>SUM(H311:H313)</f>
        <v>281225.81</v>
      </c>
    </row>
    <row r="311" spans="1:8" x14ac:dyDescent="0.35">
      <c r="A311" s="1" t="s">
        <v>41</v>
      </c>
      <c r="B311" s="65">
        <v>1797858</v>
      </c>
      <c r="C311" s="69">
        <v>1754870</v>
      </c>
      <c r="D311" s="38">
        <v>1491458.26</v>
      </c>
      <c r="E311" s="27">
        <f t="shared" si="48"/>
        <v>84.989672169448454</v>
      </c>
      <c r="F311" s="26">
        <v>1026727.56</v>
      </c>
      <c r="G311" s="38">
        <v>939316.73</v>
      </c>
      <c r="H311" s="167">
        <f>C311-D311</f>
        <v>263411.74</v>
      </c>
    </row>
    <row r="312" spans="1:8" x14ac:dyDescent="0.35">
      <c r="A312" s="152" t="s">
        <v>43</v>
      </c>
      <c r="B312" s="65">
        <v>27780</v>
      </c>
      <c r="C312" s="69">
        <v>21780</v>
      </c>
      <c r="D312" s="38">
        <v>3965.93</v>
      </c>
      <c r="E312" s="27">
        <f t="shared" ref="E312:E313" si="50">D312/C312*100</f>
        <v>18.209044995408629</v>
      </c>
      <c r="F312" s="26">
        <v>3965.92</v>
      </c>
      <c r="G312" s="38">
        <v>3213.42</v>
      </c>
      <c r="H312" s="167">
        <f>C312-D312</f>
        <v>17814.07</v>
      </c>
    </row>
    <row r="313" spans="1:8" x14ac:dyDescent="0.35">
      <c r="A313" s="168" t="s">
        <v>45</v>
      </c>
      <c r="B313" s="139">
        <v>300000</v>
      </c>
      <c r="C313" s="184">
        <v>300000</v>
      </c>
      <c r="D313" s="46">
        <v>300000</v>
      </c>
      <c r="E313" s="31">
        <f t="shared" si="50"/>
        <v>100</v>
      </c>
      <c r="F313" s="31">
        <v>0</v>
      </c>
      <c r="G313" s="46">
        <v>0</v>
      </c>
      <c r="H313" s="66">
        <f>C313-D313</f>
        <v>0</v>
      </c>
    </row>
    <row r="314" spans="1:8" x14ac:dyDescent="0.35">
      <c r="A314" s="162" t="s">
        <v>46</v>
      </c>
      <c r="B314" s="141">
        <f>SUM(B315:B318)</f>
        <v>5825400</v>
      </c>
      <c r="C314" s="183">
        <f>SUM(C315:C318)</f>
        <v>5820600</v>
      </c>
      <c r="D314" s="61">
        <f>SUM(D315:D318)</f>
        <v>5098676.37</v>
      </c>
      <c r="E314" s="10">
        <f>D314/C314*100</f>
        <v>87.597092567776528</v>
      </c>
      <c r="F314" s="9">
        <f>SUM(F315:F318)</f>
        <v>4519616.29</v>
      </c>
      <c r="G314" s="9">
        <f>SUM(G315:G318)</f>
        <v>2599434.92</v>
      </c>
      <c r="H314" s="11">
        <f>SUM(H315:H318)</f>
        <v>721923.63</v>
      </c>
    </row>
    <row r="315" spans="1:8" x14ac:dyDescent="0.35">
      <c r="A315" s="160" t="s">
        <v>48</v>
      </c>
      <c r="B315" s="64">
        <v>3600000</v>
      </c>
      <c r="C315" s="69">
        <v>3600000</v>
      </c>
      <c r="D315" s="55">
        <v>3600000</v>
      </c>
      <c r="E315" s="27">
        <v>0</v>
      </c>
      <c r="F315" s="55">
        <v>3600000</v>
      </c>
      <c r="G315" s="63">
        <v>1800000</v>
      </c>
      <c r="H315" s="28">
        <f>C315-D315</f>
        <v>0</v>
      </c>
    </row>
    <row r="316" spans="1:8" x14ac:dyDescent="0.35">
      <c r="A316" s="158" t="s">
        <v>50</v>
      </c>
      <c r="B316" s="64">
        <v>128600</v>
      </c>
      <c r="C316" s="69">
        <v>127700</v>
      </c>
      <c r="D316" s="64">
        <v>72526.23</v>
      </c>
      <c r="E316" s="27">
        <f>D316/C316*100</f>
        <v>56.794228660924041</v>
      </c>
      <c r="F316" s="138">
        <v>51712.55</v>
      </c>
      <c r="G316" s="65">
        <v>49134.65</v>
      </c>
      <c r="H316" s="28">
        <f>C316-D316</f>
        <v>55173.770000000004</v>
      </c>
    </row>
    <row r="317" spans="1:8" x14ac:dyDescent="0.35">
      <c r="A317" s="158" t="s">
        <v>52</v>
      </c>
      <c r="B317" s="64">
        <v>1007800</v>
      </c>
      <c r="C317" s="69">
        <v>1005900</v>
      </c>
      <c r="D317" s="64">
        <v>733125.18</v>
      </c>
      <c r="E317" s="27">
        <f>D317/C317*100</f>
        <v>72.882511184014319</v>
      </c>
      <c r="F317" s="26">
        <v>415657.54</v>
      </c>
      <c r="G317" s="38">
        <v>327165.24</v>
      </c>
      <c r="H317" s="28">
        <f>C317-D317</f>
        <v>272774.81999999995</v>
      </c>
    </row>
    <row r="318" spans="1:8" x14ac:dyDescent="0.35">
      <c r="A318" s="158" t="s">
        <v>54</v>
      </c>
      <c r="B318" s="64">
        <v>1089000</v>
      </c>
      <c r="C318" s="69">
        <v>1087000</v>
      </c>
      <c r="D318" s="63">
        <v>693024.96</v>
      </c>
      <c r="E318" s="27">
        <f>D318/C318*100</f>
        <v>63.755746090156393</v>
      </c>
      <c r="F318" s="26">
        <v>452246.2</v>
      </c>
      <c r="G318" s="38">
        <v>423135.03</v>
      </c>
      <c r="H318" s="28">
        <f>C318-D318</f>
        <v>393975.04000000004</v>
      </c>
    </row>
    <row r="319" spans="1:8" x14ac:dyDescent="0.35">
      <c r="A319" s="162" t="s">
        <v>55</v>
      </c>
      <c r="B319" s="9">
        <f>SUM(B320)</f>
        <v>602400</v>
      </c>
      <c r="C319" s="183">
        <f>SUM(C320)</f>
        <v>600769</v>
      </c>
      <c r="D319" s="61">
        <f>SUM(D320)</f>
        <v>526880.78</v>
      </c>
      <c r="E319" s="10">
        <f t="shared" ref="E319" si="51">D319/C319*100</f>
        <v>87.701059808345633</v>
      </c>
      <c r="F319" s="9">
        <f>SUM(F320)</f>
        <v>330245.63</v>
      </c>
      <c r="G319" s="9">
        <f>SUM(G320)</f>
        <v>292363.15999999997</v>
      </c>
      <c r="H319" s="11">
        <f>SUM(H320)</f>
        <v>73888.219999999972</v>
      </c>
    </row>
    <row r="320" spans="1:8" x14ac:dyDescent="0.35">
      <c r="A320" s="160" t="s">
        <v>57</v>
      </c>
      <c r="B320" s="38">
        <v>602400</v>
      </c>
      <c r="C320" s="69">
        <v>600769</v>
      </c>
      <c r="D320" s="63">
        <v>526880.78</v>
      </c>
      <c r="E320" s="27">
        <f>D320/C320*100</f>
        <v>87.701059808345633</v>
      </c>
      <c r="F320" s="26">
        <v>330245.63</v>
      </c>
      <c r="G320" s="38">
        <v>292363.15999999997</v>
      </c>
      <c r="H320" s="28">
        <f>C320-D320</f>
        <v>73888.219999999972</v>
      </c>
    </row>
    <row r="321" spans="1:8" x14ac:dyDescent="0.35">
      <c r="A321" s="162" t="s">
        <v>58</v>
      </c>
      <c r="B321" s="9">
        <f>SUM(B322:B323)</f>
        <v>12064700</v>
      </c>
      <c r="C321" s="183">
        <f>SUM(C322:C323)</f>
        <v>11266378</v>
      </c>
      <c r="D321" s="9">
        <f>SUM(D322:D323)</f>
        <v>5695375.04</v>
      </c>
      <c r="E321" s="10">
        <f>D321/C321*100</f>
        <v>50.551961242557276</v>
      </c>
      <c r="F321" s="9">
        <f>SUM(F322:F323)</f>
        <v>3765804.04</v>
      </c>
      <c r="G321" s="9">
        <f>SUM(G322:G323)</f>
        <v>3255911.21</v>
      </c>
      <c r="H321" s="11">
        <f>SUM(H322:H323)</f>
        <v>5571002.9600000009</v>
      </c>
    </row>
    <row r="322" spans="1:8" x14ac:dyDescent="0.35">
      <c r="A322" s="161" t="s">
        <v>60</v>
      </c>
      <c r="B322" s="68">
        <f>9263379+361671</f>
        <v>9625050</v>
      </c>
      <c r="C322" s="182">
        <f>8570296+361671</f>
        <v>8931967</v>
      </c>
      <c r="D322" s="69">
        <f>3725273.55+163753.72</f>
        <v>3889027.27</v>
      </c>
      <c r="E322" s="70">
        <f>D322/C322*100</f>
        <v>43.540546779897419</v>
      </c>
      <c r="F322" s="179">
        <f>2250056.58+163753.72</f>
        <v>2413810.3000000003</v>
      </c>
      <c r="G322" s="69">
        <f>1974742.62+49016.57</f>
        <v>2023759.1900000002</v>
      </c>
      <c r="H322" s="28">
        <f>C322-D322</f>
        <v>5042939.7300000004</v>
      </c>
    </row>
    <row r="323" spans="1:8" ht="15" thickBot="1" x14ac:dyDescent="0.4">
      <c r="A323" s="172" t="s">
        <v>60</v>
      </c>
      <c r="B323" s="74">
        <f>98000+2341650</f>
        <v>2439650</v>
      </c>
      <c r="C323" s="181">
        <f>98000+2236411</f>
        <v>2334411</v>
      </c>
      <c r="D323" s="75">
        <v>1806347.77</v>
      </c>
      <c r="E323" s="76">
        <f>D323/C323*100</f>
        <v>77.379166307903787</v>
      </c>
      <c r="F323" s="180">
        <v>1351993.74</v>
      </c>
      <c r="G323" s="75">
        <v>1232152.02</v>
      </c>
      <c r="H323" s="77">
        <f>C323-D323</f>
        <v>528063.23</v>
      </c>
    </row>
    <row r="325" spans="1:8" ht="15" thickBot="1" x14ac:dyDescent="0.4"/>
    <row r="326" spans="1:8" ht="15" thickBot="1" x14ac:dyDescent="0.4">
      <c r="A326" s="205" t="s">
        <v>74</v>
      </c>
      <c r="B326" s="198"/>
      <c r="C326" s="198"/>
      <c r="D326" s="198"/>
      <c r="E326" s="198"/>
      <c r="F326" s="198"/>
      <c r="G326" s="198"/>
      <c r="H326" s="199"/>
    </row>
    <row r="327" spans="1:8" ht="58.5" thickBot="1" x14ac:dyDescent="0.4">
      <c r="A327" s="173" t="s">
        <v>1</v>
      </c>
      <c r="B327" s="174" t="s">
        <v>2</v>
      </c>
      <c r="C327" s="191" t="s">
        <v>3</v>
      </c>
      <c r="D327" s="174" t="s">
        <v>4</v>
      </c>
      <c r="E327" s="175" t="s">
        <v>75</v>
      </c>
      <c r="F327" s="175" t="s">
        <v>67</v>
      </c>
      <c r="G327" s="175" t="s">
        <v>68</v>
      </c>
      <c r="H327" s="176" t="s">
        <v>69</v>
      </c>
    </row>
    <row r="328" spans="1:8" x14ac:dyDescent="0.35">
      <c r="A328" s="157" t="s">
        <v>9</v>
      </c>
      <c r="B328" s="9">
        <f>B329+B337+B340+B342+B346+B350+B355+B357</f>
        <v>43689200</v>
      </c>
      <c r="C328" s="183">
        <f>C329+C337+C340+C342+C346+C350+C355+C357</f>
        <v>43238770</v>
      </c>
      <c r="D328" s="9">
        <f>D329+D337+D340+D342+D346+D350+D355+D357</f>
        <v>38055487</v>
      </c>
      <c r="E328" s="10">
        <f>D328/C328*100</f>
        <v>88.012418022066768</v>
      </c>
      <c r="F328" s="9">
        <f>F329+F337+F340+F342+F346+F350+F355+F357</f>
        <v>27512989.500000004</v>
      </c>
      <c r="G328" s="61">
        <f>G329+G337+G340+G342+G346+G350+G355+G357</f>
        <v>23407133.500000004</v>
      </c>
      <c r="H328" s="11">
        <f>H329+H337+H340+H342+H346+H350+H355+H357</f>
        <v>5183283</v>
      </c>
    </row>
    <row r="329" spans="1:8" x14ac:dyDescent="0.35">
      <c r="A329" s="159" t="s">
        <v>10</v>
      </c>
      <c r="B329" s="17">
        <f>SUM(B330:B336)</f>
        <v>11849900</v>
      </c>
      <c r="C329" s="185">
        <f>SUM(C330:C336)</f>
        <v>11844300</v>
      </c>
      <c r="D329" s="17">
        <f>SUM(D330:D336)</f>
        <v>11485227.52</v>
      </c>
      <c r="E329" s="18">
        <f t="shared" ref="E329:E336" si="52">D329/C329*100</f>
        <v>96.968394248710339</v>
      </c>
      <c r="F329" s="17">
        <f>SUM(F330:F336)</f>
        <v>8960103.0099999998</v>
      </c>
      <c r="G329" s="177">
        <f>SUM(G330:G336)</f>
        <v>8312101.0600000005</v>
      </c>
      <c r="H329" s="19">
        <f>SUM(H330:H336)</f>
        <v>359072.48000000021</v>
      </c>
    </row>
    <row r="330" spans="1:8" x14ac:dyDescent="0.35">
      <c r="A330" s="160" t="s">
        <v>12</v>
      </c>
      <c r="B330" s="22">
        <v>5445000</v>
      </c>
      <c r="C330" s="179">
        <v>5445000</v>
      </c>
      <c r="D330" s="22">
        <v>5445000</v>
      </c>
      <c r="E330" s="22">
        <f>D330/C330*100</f>
        <v>100</v>
      </c>
      <c r="F330" s="22">
        <v>5000000</v>
      </c>
      <c r="G330" s="22">
        <v>5000000</v>
      </c>
      <c r="H330" s="24">
        <f t="shared" ref="H330:H336" si="53">C330-D330</f>
        <v>0</v>
      </c>
    </row>
    <row r="331" spans="1:8" x14ac:dyDescent="0.35">
      <c r="A331" s="160" t="s">
        <v>14</v>
      </c>
      <c r="B331" s="26">
        <v>2313910</v>
      </c>
      <c r="C331" s="179">
        <v>2313110</v>
      </c>
      <c r="D331" s="26">
        <v>2223961.19</v>
      </c>
      <c r="E331" s="22">
        <f t="shared" ref="E331:E335" si="54">D331/C331*100</f>
        <v>96.145932964709843</v>
      </c>
      <c r="F331" s="22">
        <v>1409275.6</v>
      </c>
      <c r="G331" s="55">
        <v>1179916.54</v>
      </c>
      <c r="H331" s="28">
        <f t="shared" si="53"/>
        <v>89148.810000000056</v>
      </c>
    </row>
    <row r="332" spans="1:8" x14ac:dyDescent="0.35">
      <c r="A332" s="160" t="s">
        <v>16</v>
      </c>
      <c r="B332" s="26">
        <v>971000</v>
      </c>
      <c r="C332" s="179">
        <v>971000</v>
      </c>
      <c r="D332" s="26">
        <v>971000</v>
      </c>
      <c r="E332" s="22">
        <f t="shared" si="54"/>
        <v>100</v>
      </c>
      <c r="F332" s="22">
        <v>530000</v>
      </c>
      <c r="G332" s="55">
        <v>530000</v>
      </c>
      <c r="H332" s="28">
        <f t="shared" si="53"/>
        <v>0</v>
      </c>
    </row>
    <row r="333" spans="1:8" x14ac:dyDescent="0.35">
      <c r="A333" s="160" t="s">
        <v>18</v>
      </c>
      <c r="B333" s="26">
        <v>433100</v>
      </c>
      <c r="C333" s="179">
        <v>432100</v>
      </c>
      <c r="D333" s="26">
        <v>429538.41</v>
      </c>
      <c r="E333" s="22">
        <f t="shared" si="54"/>
        <v>99.407176579495484</v>
      </c>
      <c r="F333" s="22">
        <v>323514.11</v>
      </c>
      <c r="G333" s="55">
        <v>206216</v>
      </c>
      <c r="H333" s="28">
        <f t="shared" si="53"/>
        <v>2561.5900000000256</v>
      </c>
    </row>
    <row r="334" spans="1:8" x14ac:dyDescent="0.35">
      <c r="A334" s="160" t="s">
        <v>20</v>
      </c>
      <c r="B334" s="26">
        <v>581300</v>
      </c>
      <c r="C334" s="179">
        <v>581300</v>
      </c>
      <c r="D334" s="26">
        <v>581274</v>
      </c>
      <c r="E334" s="22">
        <f t="shared" si="54"/>
        <v>99.995527266471711</v>
      </c>
      <c r="F334" s="22">
        <v>331756.37</v>
      </c>
      <c r="G334" s="26">
        <v>299756.37</v>
      </c>
      <c r="H334" s="28">
        <f t="shared" si="53"/>
        <v>26</v>
      </c>
    </row>
    <row r="335" spans="1:8" x14ac:dyDescent="0.35">
      <c r="A335" s="161" t="s">
        <v>22</v>
      </c>
      <c r="B335" s="26">
        <v>291490</v>
      </c>
      <c r="C335" s="179">
        <v>290990</v>
      </c>
      <c r="D335" s="26">
        <v>159207.29</v>
      </c>
      <c r="E335" s="22">
        <f t="shared" si="54"/>
        <v>54.712289082099041</v>
      </c>
      <c r="F335" s="22">
        <v>57618.29</v>
      </c>
      <c r="G335" s="26">
        <v>54859.37</v>
      </c>
      <c r="H335" s="28">
        <f t="shared" si="53"/>
        <v>131782.71</v>
      </c>
    </row>
    <row r="336" spans="1:8" x14ac:dyDescent="0.35">
      <c r="A336" s="160" t="s">
        <v>24</v>
      </c>
      <c r="B336" s="26">
        <v>1814100</v>
      </c>
      <c r="C336" s="179">
        <v>1810800</v>
      </c>
      <c r="D336" s="26">
        <v>1675246.63</v>
      </c>
      <c r="E336" s="26">
        <f t="shared" si="52"/>
        <v>92.514172189087688</v>
      </c>
      <c r="F336" s="26">
        <v>1307938.6399999999</v>
      </c>
      <c r="G336" s="26">
        <v>1041352.78</v>
      </c>
      <c r="H336" s="28">
        <f t="shared" si="53"/>
        <v>135553.37000000011</v>
      </c>
    </row>
    <row r="337" spans="1:8" x14ac:dyDescent="0.35">
      <c r="A337" s="159" t="s">
        <v>25</v>
      </c>
      <c r="B337" s="17">
        <f>SUM(B338:B339)</f>
        <v>813670</v>
      </c>
      <c r="C337" s="185">
        <f t="shared" ref="C337:D337" si="55">SUM(C338:C339)</f>
        <v>813270</v>
      </c>
      <c r="D337" s="17">
        <f t="shared" si="55"/>
        <v>734099.90999999992</v>
      </c>
      <c r="E337" s="18">
        <f t="shared" ref="E337:E347" si="56">D337/C337*100</f>
        <v>90.265214504408121</v>
      </c>
      <c r="F337" s="17">
        <f>SUM(F338:F339)</f>
        <v>543651.68999999994</v>
      </c>
      <c r="G337" s="17">
        <f>SUM(G338:G339)</f>
        <v>543651.68999999994</v>
      </c>
      <c r="H337" s="19">
        <f>SUM(H338:H339)</f>
        <v>79170.090000000026</v>
      </c>
    </row>
    <row r="338" spans="1:8" x14ac:dyDescent="0.35">
      <c r="A338" s="158" t="s">
        <v>27</v>
      </c>
      <c r="B338" s="33">
        <v>400670</v>
      </c>
      <c r="C338" s="69">
        <v>400670</v>
      </c>
      <c r="D338" s="22">
        <v>363785.25</v>
      </c>
      <c r="E338" s="23">
        <f t="shared" si="56"/>
        <v>90.794232161130111</v>
      </c>
      <c r="F338" s="22">
        <v>244605.45</v>
      </c>
      <c r="G338" s="22">
        <v>244605.45</v>
      </c>
      <c r="H338" s="34">
        <f>C338-D338</f>
        <v>36884.75</v>
      </c>
    </row>
    <row r="339" spans="1:8" x14ac:dyDescent="0.35">
      <c r="A339" s="158" t="s">
        <v>29</v>
      </c>
      <c r="B339" s="33">
        <v>413000</v>
      </c>
      <c r="C339" s="69">
        <v>412600</v>
      </c>
      <c r="D339" s="22">
        <v>370314.66</v>
      </c>
      <c r="E339" s="23">
        <f t="shared" si="56"/>
        <v>89.751492971400864</v>
      </c>
      <c r="F339" s="22">
        <v>299046.24</v>
      </c>
      <c r="G339" s="22">
        <v>299046.24</v>
      </c>
      <c r="H339" s="34">
        <f>C339-D339</f>
        <v>42285.340000000026</v>
      </c>
    </row>
    <row r="340" spans="1:8" x14ac:dyDescent="0.35">
      <c r="A340" s="162" t="s">
        <v>30</v>
      </c>
      <c r="B340" s="9">
        <f>SUM(B341)</f>
        <v>2500000</v>
      </c>
      <c r="C340" s="183">
        <f>SUM(C341)</f>
        <v>2500000</v>
      </c>
      <c r="D340" s="9">
        <f>SUM(D341)</f>
        <v>2500000</v>
      </c>
      <c r="E340" s="10">
        <f t="shared" si="56"/>
        <v>100</v>
      </c>
      <c r="F340" s="40">
        <f>SUM(F341)</f>
        <v>2500000</v>
      </c>
      <c r="G340" s="61">
        <f>G341</f>
        <v>2500000</v>
      </c>
      <c r="H340" s="34">
        <f t="shared" ref="H340:H341" si="57">C340-D340</f>
        <v>0</v>
      </c>
    </row>
    <row r="341" spans="1:8" x14ac:dyDescent="0.35">
      <c r="A341" s="158" t="s">
        <v>30</v>
      </c>
      <c r="B341" s="38">
        <v>2500000</v>
      </c>
      <c r="C341" s="69">
        <v>2500000</v>
      </c>
      <c r="D341" s="38">
        <v>2500000</v>
      </c>
      <c r="E341" s="22">
        <f t="shared" si="56"/>
        <v>100</v>
      </c>
      <c r="F341" s="22">
        <v>2500000</v>
      </c>
      <c r="G341" s="22">
        <v>2500000</v>
      </c>
      <c r="H341" s="34">
        <f t="shared" si="57"/>
        <v>0</v>
      </c>
    </row>
    <row r="342" spans="1:8" x14ac:dyDescent="0.35">
      <c r="A342" s="159" t="s">
        <v>32</v>
      </c>
      <c r="B342" s="40">
        <f>SUM(B343:B345)</f>
        <v>7859692</v>
      </c>
      <c r="C342" s="185">
        <f>SUM(C343:C345)</f>
        <v>7840352</v>
      </c>
      <c r="D342" s="40">
        <f>SUM(D343:D345)</f>
        <v>7189640.6600000001</v>
      </c>
      <c r="E342" s="41">
        <f t="shared" si="56"/>
        <v>91.700483090555124</v>
      </c>
      <c r="F342" s="40">
        <f>SUM(F343:F345)</f>
        <v>4629019.7299999995</v>
      </c>
      <c r="G342" s="52">
        <f>SUM(G343:G345)</f>
        <v>4080567.44</v>
      </c>
      <c r="H342" s="11">
        <f>SUM(H343:H345)</f>
        <v>650711.33999999962</v>
      </c>
    </row>
    <row r="343" spans="1:8" x14ac:dyDescent="0.35">
      <c r="A343" s="158" t="s">
        <v>34</v>
      </c>
      <c r="B343" s="26">
        <v>2518200</v>
      </c>
      <c r="C343" s="179">
        <v>2506500</v>
      </c>
      <c r="D343" s="26">
        <v>2338927.7400000002</v>
      </c>
      <c r="E343" s="26">
        <f t="shared" si="56"/>
        <v>93.314491921005398</v>
      </c>
      <c r="F343" s="26">
        <v>1545081.66</v>
      </c>
      <c r="G343" s="55">
        <v>1374856.74</v>
      </c>
      <c r="H343" s="28">
        <f>C343-D343</f>
        <v>167572.25999999978</v>
      </c>
    </row>
    <row r="344" spans="1:8" x14ac:dyDescent="0.35">
      <c r="A344" s="163" t="s">
        <v>36</v>
      </c>
      <c r="B344" s="26">
        <v>5150992</v>
      </c>
      <c r="C344" s="179">
        <v>5143752</v>
      </c>
      <c r="D344" s="26">
        <v>4692151.45</v>
      </c>
      <c r="E344" s="26">
        <f t="shared" si="56"/>
        <v>91.220405843827621</v>
      </c>
      <c r="F344" s="26">
        <v>2931391.6</v>
      </c>
      <c r="G344" s="26">
        <v>2568047.23</v>
      </c>
      <c r="H344" s="28">
        <f>C344-D344</f>
        <v>451600.54999999981</v>
      </c>
    </row>
    <row r="345" spans="1:8" x14ac:dyDescent="0.35">
      <c r="A345" s="164" t="s">
        <v>38</v>
      </c>
      <c r="B345" s="138">
        <v>190500</v>
      </c>
      <c r="C345" s="179">
        <v>190100</v>
      </c>
      <c r="D345" s="26">
        <v>158561.47</v>
      </c>
      <c r="E345" s="26">
        <f t="shared" si="56"/>
        <v>83.40950552340874</v>
      </c>
      <c r="F345" s="26">
        <v>152546.47</v>
      </c>
      <c r="G345" s="26">
        <v>137663.47</v>
      </c>
      <c r="H345" s="28">
        <f>C345-D345</f>
        <v>31538.53</v>
      </c>
    </row>
    <row r="346" spans="1:8" x14ac:dyDescent="0.35">
      <c r="A346" s="165" t="s">
        <v>39</v>
      </c>
      <c r="B346" s="140">
        <f>SUM(B347:B349)</f>
        <v>2162238</v>
      </c>
      <c r="C346" s="185">
        <f>SUM(C347:C349)</f>
        <v>2143310</v>
      </c>
      <c r="D346" s="40">
        <f>SUM(D347:D349)</f>
        <v>1951304.56</v>
      </c>
      <c r="E346" s="41">
        <f t="shared" si="56"/>
        <v>91.041639333554187</v>
      </c>
      <c r="F346" s="40">
        <f>SUM(F347:F349)</f>
        <v>1477826.21</v>
      </c>
      <c r="G346" s="40">
        <f>SUM(G347:G349)</f>
        <v>1059997.49</v>
      </c>
      <c r="H346" s="166">
        <f>SUM(H347:H349)</f>
        <v>192005.43999999997</v>
      </c>
    </row>
    <row r="347" spans="1:8" x14ac:dyDescent="0.35">
      <c r="A347" s="1" t="s">
        <v>41</v>
      </c>
      <c r="B347" s="65">
        <v>1838658</v>
      </c>
      <c r="C347" s="69">
        <v>1825730</v>
      </c>
      <c r="D347" s="38">
        <v>1645251.77</v>
      </c>
      <c r="E347" s="26">
        <f t="shared" si="56"/>
        <v>90.114736023398862</v>
      </c>
      <c r="F347" s="26">
        <v>1173617.53</v>
      </c>
      <c r="G347" s="38">
        <v>1046031.57</v>
      </c>
      <c r="H347" s="167">
        <f>C347-D347</f>
        <v>180478.22999999998</v>
      </c>
    </row>
    <row r="348" spans="1:8" x14ac:dyDescent="0.35">
      <c r="A348" s="152" t="s">
        <v>43</v>
      </c>
      <c r="B348" s="65">
        <v>23580</v>
      </c>
      <c r="C348" s="69">
        <v>17580</v>
      </c>
      <c r="D348" s="38">
        <v>6052.79</v>
      </c>
      <c r="E348" s="26">
        <f t="shared" ref="E348:E349" si="58">D348/C348*100</f>
        <v>34.429977246871445</v>
      </c>
      <c r="F348" s="26">
        <v>4208.68</v>
      </c>
      <c r="G348" s="38">
        <v>3965.92</v>
      </c>
      <c r="H348" s="167">
        <f>C348-D348</f>
        <v>11527.21</v>
      </c>
    </row>
    <row r="349" spans="1:8" x14ac:dyDescent="0.35">
      <c r="A349" s="168" t="s">
        <v>45</v>
      </c>
      <c r="B349" s="139">
        <v>300000</v>
      </c>
      <c r="C349" s="184">
        <v>300000</v>
      </c>
      <c r="D349" s="46">
        <v>300000</v>
      </c>
      <c r="E349" s="30">
        <f t="shared" si="58"/>
        <v>100</v>
      </c>
      <c r="F349" s="30">
        <v>300000</v>
      </c>
      <c r="G349" s="46">
        <v>10000</v>
      </c>
      <c r="H349" s="66">
        <f>C349-D349</f>
        <v>0</v>
      </c>
    </row>
    <row r="350" spans="1:8" x14ac:dyDescent="0.35">
      <c r="A350" s="162" t="s">
        <v>46</v>
      </c>
      <c r="B350" s="141">
        <f>SUM(B351:B354)</f>
        <v>5824400</v>
      </c>
      <c r="C350" s="183">
        <f>SUM(C351:C354)</f>
        <v>5819600</v>
      </c>
      <c r="D350" s="61">
        <f>SUM(D351:D354)</f>
        <v>5236343.16</v>
      </c>
      <c r="E350" s="10">
        <f>D350/C350*100</f>
        <v>89.977715994226415</v>
      </c>
      <c r="F350" s="9">
        <f>SUM(F351:F354)</f>
        <v>4780213.92</v>
      </c>
      <c r="G350" s="9">
        <f>SUM(G351:G354)</f>
        <v>2773190.74</v>
      </c>
      <c r="H350" s="11">
        <f>SUM(H351:H354)</f>
        <v>583256.84000000008</v>
      </c>
    </row>
    <row r="351" spans="1:8" x14ac:dyDescent="0.35">
      <c r="A351" s="160" t="s">
        <v>48</v>
      </c>
      <c r="B351" s="64">
        <v>3600000</v>
      </c>
      <c r="C351" s="69">
        <v>3600000</v>
      </c>
      <c r="D351" s="55">
        <v>3600000</v>
      </c>
      <c r="E351" s="26">
        <v>0</v>
      </c>
      <c r="F351" s="55">
        <v>3600000</v>
      </c>
      <c r="G351" s="63">
        <v>1800000</v>
      </c>
      <c r="H351" s="28">
        <f>C351-D351</f>
        <v>0</v>
      </c>
    </row>
    <row r="352" spans="1:8" x14ac:dyDescent="0.35">
      <c r="A352" s="158" t="s">
        <v>50</v>
      </c>
      <c r="B352" s="64">
        <v>125600</v>
      </c>
      <c r="C352" s="69">
        <v>124700</v>
      </c>
      <c r="D352" s="64">
        <v>79748.81</v>
      </c>
      <c r="E352" s="26">
        <f>D352/C352*100</f>
        <v>63.952534081796308</v>
      </c>
      <c r="F352" s="138">
        <v>70352.710000000006</v>
      </c>
      <c r="G352" s="65">
        <v>57848.58</v>
      </c>
      <c r="H352" s="28">
        <f>C352-D352</f>
        <v>44951.19</v>
      </c>
    </row>
    <row r="353" spans="1:8" x14ac:dyDescent="0.35">
      <c r="A353" s="158" t="s">
        <v>52</v>
      </c>
      <c r="B353" s="64">
        <v>1009800</v>
      </c>
      <c r="C353" s="69">
        <v>1007900</v>
      </c>
      <c r="D353" s="64">
        <v>819707.35</v>
      </c>
      <c r="E353" s="26">
        <f>D353/C353*100</f>
        <v>81.328241889076295</v>
      </c>
      <c r="F353" s="26">
        <v>560586.73</v>
      </c>
      <c r="G353" s="38">
        <v>453605.24</v>
      </c>
      <c r="H353" s="28">
        <f>C353-D353</f>
        <v>188192.65000000002</v>
      </c>
    </row>
    <row r="354" spans="1:8" x14ac:dyDescent="0.35">
      <c r="A354" s="158" t="s">
        <v>54</v>
      </c>
      <c r="B354" s="64">
        <v>1089000</v>
      </c>
      <c r="C354" s="69">
        <v>1087000</v>
      </c>
      <c r="D354" s="63">
        <v>736887</v>
      </c>
      <c r="E354" s="26">
        <f>D354/C354*100</f>
        <v>67.790892364305435</v>
      </c>
      <c r="F354" s="26">
        <v>549274.48</v>
      </c>
      <c r="G354" s="38">
        <v>461736.92</v>
      </c>
      <c r="H354" s="28">
        <f>C354-D354</f>
        <v>350113</v>
      </c>
    </row>
    <row r="355" spans="1:8" x14ac:dyDescent="0.35">
      <c r="A355" s="162" t="s">
        <v>55</v>
      </c>
      <c r="B355" s="9">
        <f>SUM(B356)</f>
        <v>614600</v>
      </c>
      <c r="C355" s="183">
        <f>SUM(C356)</f>
        <v>612969</v>
      </c>
      <c r="D355" s="61">
        <f>SUM(D356)</f>
        <v>542127.87</v>
      </c>
      <c r="E355" s="10">
        <f t="shared" ref="E355" si="59">D355/C355*100</f>
        <v>88.442950622299009</v>
      </c>
      <c r="F355" s="9">
        <f>SUM(F356)</f>
        <v>419289.26</v>
      </c>
      <c r="G355" s="9">
        <f>SUM(G356)</f>
        <v>385300.21</v>
      </c>
      <c r="H355" s="11">
        <f>SUM(H356)</f>
        <v>70841.13</v>
      </c>
    </row>
    <row r="356" spans="1:8" x14ac:dyDescent="0.35">
      <c r="A356" s="160" t="s">
        <v>57</v>
      </c>
      <c r="B356" s="38">
        <v>614600</v>
      </c>
      <c r="C356" s="69">
        <v>612969</v>
      </c>
      <c r="D356" s="63">
        <v>542127.87</v>
      </c>
      <c r="E356" s="26">
        <f>D356/C356*100</f>
        <v>88.442950622299009</v>
      </c>
      <c r="F356" s="26">
        <v>419289.26</v>
      </c>
      <c r="G356" s="38">
        <v>385300.21</v>
      </c>
      <c r="H356" s="28">
        <f>C356-D356</f>
        <v>70841.13</v>
      </c>
    </row>
    <row r="357" spans="1:8" x14ac:dyDescent="0.35">
      <c r="A357" s="162" t="s">
        <v>58</v>
      </c>
      <c r="B357" s="9">
        <f>SUM(B358:B359)</f>
        <v>12064700</v>
      </c>
      <c r="C357" s="9">
        <f t="shared" ref="C357:D357" si="60">SUM(C358:C359)</f>
        <v>11664969</v>
      </c>
      <c r="D357" s="9">
        <f t="shared" si="60"/>
        <v>8416743.3200000003</v>
      </c>
      <c r="E357" s="10">
        <f>D357/C357*100</f>
        <v>72.154013611180616</v>
      </c>
      <c r="F357" s="9">
        <f>SUM(F358:F359)</f>
        <v>4202885.68</v>
      </c>
      <c r="G357" s="9">
        <f>SUM(G358:G359)</f>
        <v>3752324.87</v>
      </c>
      <c r="H357" s="11">
        <f>SUM(H358:H359)</f>
        <v>3248225.6799999997</v>
      </c>
    </row>
    <row r="358" spans="1:8" x14ac:dyDescent="0.35">
      <c r="A358" s="161" t="s">
        <v>60</v>
      </c>
      <c r="B358" s="68">
        <f>9263379+361671</f>
        <v>9625050</v>
      </c>
      <c r="C358" s="182">
        <f>8890801+361671</f>
        <v>9252472</v>
      </c>
      <c r="D358" s="69">
        <f>6293311.07+183899.57</f>
        <v>6477210.6400000006</v>
      </c>
      <c r="E358" s="179">
        <f>D358/C358*100</f>
        <v>70.00519039668535</v>
      </c>
      <c r="F358" s="179">
        <f>2632292.2+183899.57</f>
        <v>2816191.77</v>
      </c>
      <c r="G358" s="69">
        <f>2299351.88+163273.19</f>
        <v>2462625.0699999998</v>
      </c>
      <c r="H358" s="28">
        <f>C358-D358</f>
        <v>2775261.3599999994</v>
      </c>
    </row>
    <row r="359" spans="1:8" ht="15" thickBot="1" x14ac:dyDescent="0.4">
      <c r="A359" s="172" t="s">
        <v>60</v>
      </c>
      <c r="B359" s="74">
        <f>2341650+98000</f>
        <v>2439650</v>
      </c>
      <c r="C359" s="181">
        <f>2314497+98000</f>
        <v>2412497</v>
      </c>
      <c r="D359" s="75">
        <v>1939532.68</v>
      </c>
      <c r="E359" s="180">
        <f>D359/C359*100</f>
        <v>80.395236968170323</v>
      </c>
      <c r="F359" s="180">
        <v>1386693.91</v>
      </c>
      <c r="G359" s="75">
        <v>1289699.8</v>
      </c>
      <c r="H359" s="77">
        <f>C359-D359</f>
        <v>472964.32000000007</v>
      </c>
    </row>
    <row r="361" spans="1:8" ht="15" thickBot="1" x14ac:dyDescent="0.4"/>
    <row r="362" spans="1:8" ht="15" thickBot="1" x14ac:dyDescent="0.4">
      <c r="A362" s="194" t="s">
        <v>76</v>
      </c>
      <c r="B362" s="195"/>
      <c r="C362" s="195"/>
      <c r="D362" s="195"/>
      <c r="E362" s="195"/>
      <c r="F362" s="195"/>
      <c r="G362" s="195"/>
      <c r="H362" s="196"/>
    </row>
    <row r="363" spans="1:8" ht="58.5" thickBot="1" x14ac:dyDescent="0.4">
      <c r="A363" s="173" t="s">
        <v>1</v>
      </c>
      <c r="B363" s="174" t="s">
        <v>2</v>
      </c>
      <c r="C363" s="191" t="s">
        <v>3</v>
      </c>
      <c r="D363" s="174" t="s">
        <v>4</v>
      </c>
      <c r="E363" s="175" t="s">
        <v>75</v>
      </c>
      <c r="F363" s="175" t="s">
        <v>67</v>
      </c>
      <c r="G363" s="175" t="s">
        <v>68</v>
      </c>
      <c r="H363" s="176" t="s">
        <v>69</v>
      </c>
    </row>
    <row r="364" spans="1:8" x14ac:dyDescent="0.35">
      <c r="A364" s="157" t="s">
        <v>9</v>
      </c>
      <c r="B364" s="9">
        <f>B365+B373+B376+B378+B382+B386+B391+B393</f>
        <v>43689200</v>
      </c>
      <c r="C364" s="183">
        <f>C365+C373+C376+C378+C382+C386+C391+C393</f>
        <v>43676775</v>
      </c>
      <c r="D364" s="9">
        <f>D365+D373+D376+D378+D382+D386+D391+D393</f>
        <v>39458548.130000003</v>
      </c>
      <c r="E364" s="10">
        <f>D364/C364*100</f>
        <v>90.342174141749254</v>
      </c>
      <c r="F364" s="9">
        <f>F365+F373+F376+F378+F382+F386+F391+F393</f>
        <v>33034966.230000004</v>
      </c>
      <c r="G364" s="61">
        <f>G365+G373+G376+G378+G382+G386+G391+G393</f>
        <v>27790436.509999998</v>
      </c>
      <c r="H364" s="11">
        <f>H365+H373+H376+H378+H382+H386+H391+H393</f>
        <v>4218226.870000001</v>
      </c>
    </row>
    <row r="365" spans="1:8" x14ac:dyDescent="0.35">
      <c r="A365" s="159" t="s">
        <v>10</v>
      </c>
      <c r="B365" s="17">
        <f>SUM(B366:B372)</f>
        <v>11810700</v>
      </c>
      <c r="C365" s="185">
        <f>SUM(C366:C372)</f>
        <v>11810700</v>
      </c>
      <c r="D365" s="17">
        <f>SUM(D366:D372)</f>
        <v>11555900.73</v>
      </c>
      <c r="E365" s="18">
        <f>D365/C365*100</f>
        <v>97.84264040234703</v>
      </c>
      <c r="F365" s="17">
        <f>SUM(F366:F372)</f>
        <v>10973956.189999999</v>
      </c>
      <c r="G365" s="177">
        <f>SUM(G366:G372)</f>
        <v>8961435.290000001</v>
      </c>
      <c r="H365" s="19">
        <f>SUM(H366:H372)</f>
        <v>254799.27000000011</v>
      </c>
    </row>
    <row r="366" spans="1:8" x14ac:dyDescent="0.35">
      <c r="A366" s="160" t="s">
        <v>12</v>
      </c>
      <c r="B366" s="22">
        <v>5445000</v>
      </c>
      <c r="C366" s="179">
        <v>5445000</v>
      </c>
      <c r="D366" s="22">
        <v>5445000</v>
      </c>
      <c r="E366" s="22">
        <f>D366/C366*100</f>
        <v>100</v>
      </c>
      <c r="F366" s="22">
        <v>5445000</v>
      </c>
      <c r="G366" s="22">
        <v>5000000</v>
      </c>
      <c r="H366" s="24">
        <f t="shared" ref="H366:H372" si="61">C366-D366</f>
        <v>0</v>
      </c>
    </row>
    <row r="367" spans="1:8" x14ac:dyDescent="0.35">
      <c r="A367" s="160" t="s">
        <v>14</v>
      </c>
      <c r="B367" s="26">
        <v>2320910</v>
      </c>
      <c r="C367" s="26">
        <v>2320910</v>
      </c>
      <c r="D367" s="26">
        <v>2281384.48</v>
      </c>
      <c r="E367" s="22">
        <f t="shared" ref="E367:E372" si="62">D367/C367*100</f>
        <v>98.296981787316184</v>
      </c>
      <c r="F367" s="22">
        <v>1920366.33</v>
      </c>
      <c r="G367" s="55">
        <v>1362236.5</v>
      </c>
      <c r="H367" s="28">
        <f t="shared" si="61"/>
        <v>39525.520000000019</v>
      </c>
    </row>
    <row r="368" spans="1:8" x14ac:dyDescent="0.35">
      <c r="A368" s="160" t="s">
        <v>16</v>
      </c>
      <c r="B368" s="26">
        <v>971000</v>
      </c>
      <c r="C368" s="179">
        <v>971000</v>
      </c>
      <c r="D368" s="26">
        <v>971000</v>
      </c>
      <c r="E368" s="22">
        <f t="shared" si="62"/>
        <v>100</v>
      </c>
      <c r="F368" s="22">
        <v>971000</v>
      </c>
      <c r="G368" s="55">
        <v>530000</v>
      </c>
      <c r="H368" s="28">
        <f t="shared" si="61"/>
        <v>0</v>
      </c>
    </row>
    <row r="369" spans="1:8" x14ac:dyDescent="0.35">
      <c r="A369" s="160" t="s">
        <v>18</v>
      </c>
      <c r="B369" s="26">
        <v>433100</v>
      </c>
      <c r="C369" s="26">
        <v>433100</v>
      </c>
      <c r="D369" s="26">
        <v>430043.56</v>
      </c>
      <c r="E369" s="22">
        <f t="shared" si="62"/>
        <v>99.294287693373349</v>
      </c>
      <c r="F369" s="22">
        <v>356513.36</v>
      </c>
      <c r="G369" s="55">
        <v>325583.86</v>
      </c>
      <c r="H369" s="28">
        <f t="shared" si="61"/>
        <v>3056.4400000000023</v>
      </c>
    </row>
    <row r="370" spans="1:8" x14ac:dyDescent="0.35">
      <c r="A370" s="160" t="s">
        <v>20</v>
      </c>
      <c r="B370" s="26">
        <v>581300</v>
      </c>
      <c r="C370" s="179">
        <v>581300</v>
      </c>
      <c r="D370" s="26">
        <v>581274</v>
      </c>
      <c r="E370" s="22">
        <f t="shared" si="62"/>
        <v>99.995527266471711</v>
      </c>
      <c r="F370" s="22">
        <v>505256.37</v>
      </c>
      <c r="G370" s="26">
        <v>331756.37</v>
      </c>
      <c r="H370" s="28">
        <f t="shared" si="61"/>
        <v>26</v>
      </c>
    </row>
    <row r="371" spans="1:8" x14ac:dyDescent="0.35">
      <c r="A371" s="161" t="s">
        <v>22</v>
      </c>
      <c r="B371" s="26">
        <v>291490</v>
      </c>
      <c r="C371" s="26">
        <v>291490</v>
      </c>
      <c r="D371" s="26">
        <v>162329.03</v>
      </c>
      <c r="E371" s="22">
        <f t="shared" si="62"/>
        <v>55.689399293286222</v>
      </c>
      <c r="F371" s="22">
        <v>134149.15</v>
      </c>
      <c r="G371" s="26">
        <v>58882.92</v>
      </c>
      <c r="H371" s="28">
        <f t="shared" si="61"/>
        <v>129160.97</v>
      </c>
    </row>
    <row r="372" spans="1:8" x14ac:dyDescent="0.35">
      <c r="A372" s="160" t="s">
        <v>24</v>
      </c>
      <c r="B372" s="26">
        <v>1767900</v>
      </c>
      <c r="C372" s="26">
        <v>1767900</v>
      </c>
      <c r="D372" s="26">
        <v>1684869.66</v>
      </c>
      <c r="E372" s="26">
        <f t="shared" si="62"/>
        <v>95.303448158832509</v>
      </c>
      <c r="F372" s="26">
        <v>1641670.98</v>
      </c>
      <c r="G372" s="26">
        <v>1352975.64</v>
      </c>
      <c r="H372" s="28">
        <f t="shared" si="61"/>
        <v>83030.340000000084</v>
      </c>
    </row>
    <row r="373" spans="1:8" x14ac:dyDescent="0.35">
      <c r="A373" s="159" t="s">
        <v>25</v>
      </c>
      <c r="B373" s="17">
        <f>SUM(B374:B375)</f>
        <v>813670</v>
      </c>
      <c r="C373" s="185">
        <f t="shared" ref="C373:D373" si="63">SUM(C374:C375)</f>
        <v>813670</v>
      </c>
      <c r="D373" s="17">
        <f t="shared" si="63"/>
        <v>809529.90999999992</v>
      </c>
      <c r="E373" s="18">
        <f t="shared" ref="E373:E383" si="64">D373/C373*100</f>
        <v>99.491183157791227</v>
      </c>
      <c r="F373" s="17">
        <f>SUM(F374:F375)</f>
        <v>698441.49</v>
      </c>
      <c r="G373" s="17">
        <f>SUM(G374:G375)</f>
        <v>543951.68999999994</v>
      </c>
      <c r="H373" s="19">
        <f>SUM(H374:H375)</f>
        <v>4140.0900000000256</v>
      </c>
    </row>
    <row r="374" spans="1:8" x14ac:dyDescent="0.35">
      <c r="A374" s="158" t="s">
        <v>27</v>
      </c>
      <c r="B374" s="33">
        <v>400670</v>
      </c>
      <c r="C374" s="69">
        <v>400670</v>
      </c>
      <c r="D374" s="22">
        <v>399395.25</v>
      </c>
      <c r="E374" s="23">
        <f t="shared" si="64"/>
        <v>99.681845408940035</v>
      </c>
      <c r="F374" s="22">
        <v>399395.25</v>
      </c>
      <c r="G374" s="22">
        <v>244905.45</v>
      </c>
      <c r="H374" s="34">
        <f>C374-D374</f>
        <v>1274.75</v>
      </c>
    </row>
    <row r="375" spans="1:8" x14ac:dyDescent="0.35">
      <c r="A375" s="158" t="s">
        <v>29</v>
      </c>
      <c r="B375" s="33">
        <v>413000</v>
      </c>
      <c r="C375" s="33">
        <v>413000</v>
      </c>
      <c r="D375" s="22">
        <v>410134.66</v>
      </c>
      <c r="E375" s="23">
        <f t="shared" si="64"/>
        <v>99.306213075060526</v>
      </c>
      <c r="F375" s="22">
        <v>299046.24</v>
      </c>
      <c r="G375" s="22">
        <v>299046.24</v>
      </c>
      <c r="H375" s="34">
        <f>C375-D375</f>
        <v>2865.3400000000256</v>
      </c>
    </row>
    <row r="376" spans="1:8" x14ac:dyDescent="0.35">
      <c r="A376" s="162" t="s">
        <v>30</v>
      </c>
      <c r="B376" s="9">
        <f>SUM(B377)</f>
        <v>2500000</v>
      </c>
      <c r="C376" s="183">
        <f>SUM(C377)</f>
        <v>2500000</v>
      </c>
      <c r="D376" s="9">
        <f>SUM(D377)</f>
        <v>2500000</v>
      </c>
      <c r="E376" s="10">
        <f t="shared" si="64"/>
        <v>100</v>
      </c>
      <c r="F376" s="40">
        <f>SUM(F377)</f>
        <v>2500000</v>
      </c>
      <c r="G376" s="61">
        <f>G377</f>
        <v>2500000</v>
      </c>
      <c r="H376" s="34">
        <f t="shared" ref="H376:H377" si="65">C376-D376</f>
        <v>0</v>
      </c>
    </row>
    <row r="377" spans="1:8" x14ac:dyDescent="0.35">
      <c r="A377" s="158" t="s">
        <v>30</v>
      </c>
      <c r="B377" s="38">
        <v>2500000</v>
      </c>
      <c r="C377" s="69">
        <v>2500000</v>
      </c>
      <c r="D377" s="38">
        <v>2500000</v>
      </c>
      <c r="E377" s="22">
        <f t="shared" si="64"/>
        <v>100</v>
      </c>
      <c r="F377" s="22">
        <v>2500000</v>
      </c>
      <c r="G377" s="22">
        <v>2500000</v>
      </c>
      <c r="H377" s="34">
        <f t="shared" si="65"/>
        <v>0</v>
      </c>
    </row>
    <row r="378" spans="1:8" x14ac:dyDescent="0.35">
      <c r="A378" s="159" t="s">
        <v>32</v>
      </c>
      <c r="B378" s="40">
        <f>SUM(B379:B381)</f>
        <v>7837192</v>
      </c>
      <c r="C378" s="185">
        <f>SUM(C379:C381)</f>
        <v>7829892</v>
      </c>
      <c r="D378" s="40">
        <f>SUM(D379:D381)</f>
        <v>7380905.75</v>
      </c>
      <c r="E378" s="41">
        <f t="shared" si="64"/>
        <v>94.265741468720137</v>
      </c>
      <c r="F378" s="40">
        <f>SUM(F379:F381)</f>
        <v>5870853.2100000009</v>
      </c>
      <c r="G378" s="52">
        <f>SUM(G379:G381)</f>
        <v>4646709.43</v>
      </c>
      <c r="H378" s="11">
        <f>SUM(H379:H381)</f>
        <v>448986.25000000017</v>
      </c>
    </row>
    <row r="379" spans="1:8" x14ac:dyDescent="0.35">
      <c r="A379" s="158" t="s">
        <v>34</v>
      </c>
      <c r="B379" s="26">
        <v>2496700</v>
      </c>
      <c r="C379" s="179">
        <v>2492050</v>
      </c>
      <c r="D379" s="26">
        <v>2351189.0499999998</v>
      </c>
      <c r="E379" s="26">
        <f t="shared" si="64"/>
        <v>94.347587327702087</v>
      </c>
      <c r="F379" s="26">
        <v>2012318.08</v>
      </c>
      <c r="G379" s="55">
        <v>1473007.96</v>
      </c>
      <c r="H379" s="28">
        <f>C379-D379</f>
        <v>140860.95000000019</v>
      </c>
    </row>
    <row r="380" spans="1:8" x14ac:dyDescent="0.35">
      <c r="A380" s="163" t="s">
        <v>36</v>
      </c>
      <c r="B380" s="26">
        <v>5149992</v>
      </c>
      <c r="C380" s="179">
        <v>5147742</v>
      </c>
      <c r="D380" s="26">
        <v>4863125.5</v>
      </c>
      <c r="E380" s="26">
        <f t="shared" si="64"/>
        <v>94.47104186651157</v>
      </c>
      <c r="F380" s="26">
        <v>3698336.31</v>
      </c>
      <c r="G380" s="26">
        <v>3021638</v>
      </c>
      <c r="H380" s="28">
        <f>C380-D380</f>
        <v>284616.5</v>
      </c>
    </row>
    <row r="381" spans="1:8" x14ac:dyDescent="0.35">
      <c r="A381" s="164" t="s">
        <v>38</v>
      </c>
      <c r="B381" s="138">
        <v>190500</v>
      </c>
      <c r="C381" s="179">
        <v>190100</v>
      </c>
      <c r="D381" s="26">
        <v>166591.20000000001</v>
      </c>
      <c r="E381" s="26">
        <f t="shared" si="64"/>
        <v>87.633456075749621</v>
      </c>
      <c r="F381" s="26">
        <v>160198.82</v>
      </c>
      <c r="G381" s="26">
        <v>152063.47</v>
      </c>
      <c r="H381" s="28">
        <f>C381-D381</f>
        <v>23508.799999999988</v>
      </c>
    </row>
    <row r="382" spans="1:8" x14ac:dyDescent="0.35">
      <c r="A382" s="165" t="s">
        <v>39</v>
      </c>
      <c r="B382" s="140">
        <f>SUM(B383:B385)</f>
        <v>2184738</v>
      </c>
      <c r="C382" s="185">
        <f>SUM(C383:C385)</f>
        <v>2179613</v>
      </c>
      <c r="D382" s="40">
        <f>SUM(D383:D385)</f>
        <v>2060327.44</v>
      </c>
      <c r="E382" s="41">
        <f t="shared" si="64"/>
        <v>94.527213776023544</v>
      </c>
      <c r="F382" s="40">
        <f>SUM(F383:F385)</f>
        <v>1902911.52</v>
      </c>
      <c r="G382" s="40">
        <f>SUM(G383:G385)</f>
        <v>1531108.96</v>
      </c>
      <c r="H382" s="166">
        <f>SUM(H383:H385)</f>
        <v>119285.56000000004</v>
      </c>
    </row>
    <row r="383" spans="1:8" x14ac:dyDescent="0.35">
      <c r="A383" s="1" t="s">
        <v>41</v>
      </c>
      <c r="B383" s="65">
        <v>1861158</v>
      </c>
      <c r="C383" s="69">
        <v>1856033</v>
      </c>
      <c r="D383" s="38">
        <v>1752622.95</v>
      </c>
      <c r="E383" s="26">
        <f t="shared" si="64"/>
        <v>94.428436886628631</v>
      </c>
      <c r="F383" s="26">
        <v>1596800.84</v>
      </c>
      <c r="G383" s="38">
        <v>1224998.28</v>
      </c>
      <c r="H383" s="167">
        <f>C383-D383</f>
        <v>103410.05000000005</v>
      </c>
    </row>
    <row r="384" spans="1:8" x14ac:dyDescent="0.35">
      <c r="A384" s="152" t="s">
        <v>43</v>
      </c>
      <c r="B384" s="65">
        <v>23580</v>
      </c>
      <c r="C384" s="69">
        <v>23580</v>
      </c>
      <c r="D384" s="38">
        <v>7704.49</v>
      </c>
      <c r="E384" s="26">
        <f t="shared" ref="E384:E385" si="66">D384/C384*100</f>
        <v>32.673833757421548</v>
      </c>
      <c r="F384" s="26">
        <v>6110.68</v>
      </c>
      <c r="G384" s="38">
        <v>6110.68</v>
      </c>
      <c r="H384" s="167">
        <f>C384-D384</f>
        <v>15875.51</v>
      </c>
    </row>
    <row r="385" spans="1:8" x14ac:dyDescent="0.35">
      <c r="A385" s="168" t="s">
        <v>45</v>
      </c>
      <c r="B385" s="139">
        <v>300000</v>
      </c>
      <c r="C385" s="184">
        <v>300000</v>
      </c>
      <c r="D385" s="46">
        <v>300000</v>
      </c>
      <c r="E385" s="30">
        <f t="shared" si="66"/>
        <v>100</v>
      </c>
      <c r="F385" s="30">
        <v>300000</v>
      </c>
      <c r="G385" s="30">
        <v>300000</v>
      </c>
      <c r="H385" s="66">
        <f>C385-D385</f>
        <v>0</v>
      </c>
    </row>
    <row r="386" spans="1:8" x14ac:dyDescent="0.35">
      <c r="A386" s="162" t="s">
        <v>46</v>
      </c>
      <c r="B386" s="9">
        <f>SUM(B387:B390)</f>
        <v>5840100</v>
      </c>
      <c r="C386" s="192">
        <f>SUM(C387:C390)</f>
        <v>5840100</v>
      </c>
      <c r="D386" s="61">
        <f>SUM(D387:D390)</f>
        <v>5366277.3000000007</v>
      </c>
      <c r="E386" s="10">
        <f>D386/C386*100</f>
        <v>91.886736528484107</v>
      </c>
      <c r="F386" s="9">
        <f>SUM(F387:F390)</f>
        <v>5015739.4400000004</v>
      </c>
      <c r="G386" s="9">
        <f>SUM(G387:G390)</f>
        <v>4728410.3499999996</v>
      </c>
      <c r="H386" s="11">
        <f>SUM(H387:H390)</f>
        <v>473822.69999999995</v>
      </c>
    </row>
    <row r="387" spans="1:8" x14ac:dyDescent="0.35">
      <c r="A387" s="160" t="s">
        <v>48</v>
      </c>
      <c r="B387" s="38">
        <v>3600000</v>
      </c>
      <c r="C387" s="193">
        <v>3600000</v>
      </c>
      <c r="D387" s="55">
        <v>3600000</v>
      </c>
      <c r="E387" s="26">
        <v>0</v>
      </c>
      <c r="F387" s="55">
        <v>3600000</v>
      </c>
      <c r="G387" s="55">
        <v>3600000</v>
      </c>
      <c r="H387" s="28">
        <f>C387-D387</f>
        <v>0</v>
      </c>
    </row>
    <row r="388" spans="1:8" x14ac:dyDescent="0.35">
      <c r="A388" s="158" t="s">
        <v>50</v>
      </c>
      <c r="B388" s="38">
        <v>125600</v>
      </c>
      <c r="C388" s="64">
        <v>125600</v>
      </c>
      <c r="D388" s="64">
        <v>77041.37</v>
      </c>
      <c r="E388" s="26">
        <f>D388/C388*100</f>
        <v>61.338670382165603</v>
      </c>
      <c r="F388" s="138">
        <v>73322.37</v>
      </c>
      <c r="G388" s="65">
        <v>70295.210000000006</v>
      </c>
      <c r="H388" s="28">
        <f>C388-D388</f>
        <v>48558.630000000005</v>
      </c>
    </row>
    <row r="389" spans="1:8" x14ac:dyDescent="0.35">
      <c r="A389" s="158" t="s">
        <v>52</v>
      </c>
      <c r="B389" s="38">
        <v>1009800</v>
      </c>
      <c r="C389" s="38">
        <v>1009800</v>
      </c>
      <c r="D389" s="64">
        <v>841505.78</v>
      </c>
      <c r="E389" s="26">
        <f>D389/C389*100</f>
        <v>83.333905723905715</v>
      </c>
      <c r="F389" s="26">
        <v>671038.37</v>
      </c>
      <c r="G389" s="38">
        <v>517324.07</v>
      </c>
      <c r="H389" s="28">
        <f>C389-D389</f>
        <v>168294.21999999997</v>
      </c>
    </row>
    <row r="390" spans="1:8" x14ac:dyDescent="0.35">
      <c r="A390" s="158" t="s">
        <v>54</v>
      </c>
      <c r="B390" s="38">
        <v>1104700</v>
      </c>
      <c r="C390" s="38">
        <v>1104700</v>
      </c>
      <c r="D390" s="63">
        <v>847730.15</v>
      </c>
      <c r="E390" s="26">
        <f>D390/C390*100</f>
        <v>76.738494613922342</v>
      </c>
      <c r="F390" s="26">
        <v>671378.7</v>
      </c>
      <c r="G390" s="38">
        <v>540791.06999999995</v>
      </c>
      <c r="H390" s="28">
        <f>C390-D390</f>
        <v>256969.84999999998</v>
      </c>
    </row>
    <row r="391" spans="1:8" x14ac:dyDescent="0.35">
      <c r="A391" s="162" t="s">
        <v>55</v>
      </c>
      <c r="B391" s="9">
        <f>SUM(B392)</f>
        <v>638100</v>
      </c>
      <c r="C391" s="183">
        <f>SUM(C392)</f>
        <v>638100</v>
      </c>
      <c r="D391" s="61">
        <f>SUM(D392)</f>
        <v>571785.66</v>
      </c>
      <c r="E391" s="10">
        <f t="shared" ref="E391" si="67">D391/C391*100</f>
        <v>89.607531734837806</v>
      </c>
      <c r="F391" s="9">
        <f>SUM(F392)</f>
        <v>465697.3</v>
      </c>
      <c r="G391" s="9">
        <f>SUM(G392)</f>
        <v>426540.21</v>
      </c>
      <c r="H391" s="11">
        <f>SUM(H392)</f>
        <v>66314.339999999967</v>
      </c>
    </row>
    <row r="392" spans="1:8" x14ac:dyDescent="0.35">
      <c r="A392" s="160" t="s">
        <v>57</v>
      </c>
      <c r="B392" s="38">
        <v>638100</v>
      </c>
      <c r="C392" s="38">
        <v>638100</v>
      </c>
      <c r="D392" s="63">
        <v>571785.66</v>
      </c>
      <c r="E392" s="26">
        <f>D392/C392*100</f>
        <v>89.607531734837806</v>
      </c>
      <c r="F392" s="26">
        <v>465697.3</v>
      </c>
      <c r="G392" s="38">
        <v>426540.21</v>
      </c>
      <c r="H392" s="28">
        <f>C392-D392</f>
        <v>66314.339999999967</v>
      </c>
    </row>
    <row r="393" spans="1:8" x14ac:dyDescent="0.35">
      <c r="A393" s="162" t="s">
        <v>58</v>
      </c>
      <c r="B393" s="9">
        <f>SUM(B394:B395)</f>
        <v>12064700</v>
      </c>
      <c r="C393" s="9">
        <f t="shared" ref="C393:D393" si="68">SUM(C394:C395)</f>
        <v>12064700</v>
      </c>
      <c r="D393" s="9">
        <f t="shared" si="68"/>
        <v>9213821.3399999999</v>
      </c>
      <c r="E393" s="10">
        <f>D393/C393*100</f>
        <v>76.370082472005109</v>
      </c>
      <c r="F393" s="9">
        <f>SUM(F394:F395)</f>
        <v>5607367.0800000001</v>
      </c>
      <c r="G393" s="9">
        <f>SUM(G394:G395)</f>
        <v>4452280.58</v>
      </c>
      <c r="H393" s="11">
        <f>SUM(H394:H395)</f>
        <v>2850878.6600000011</v>
      </c>
    </row>
    <row r="394" spans="1:8" x14ac:dyDescent="0.35">
      <c r="A394" s="161" t="s">
        <v>60</v>
      </c>
      <c r="B394" s="68">
        <f>9263379+361671</f>
        <v>9625050</v>
      </c>
      <c r="C394" s="182">
        <f>9263379+361671</f>
        <v>9625050</v>
      </c>
      <c r="D394" s="69">
        <f>6983633.27+203993.52</f>
        <v>7187626.7899999991</v>
      </c>
      <c r="E394" s="179">
        <f>D394/C394*100</f>
        <v>74.676254045433524</v>
      </c>
      <c r="F394" s="179">
        <f>3521491.5+203993.52</f>
        <v>3725485.02</v>
      </c>
      <c r="G394" s="69">
        <f>2840136.9+176815.88</f>
        <v>3016952.78</v>
      </c>
      <c r="H394" s="28">
        <f>C394-D394</f>
        <v>2437423.2100000009</v>
      </c>
    </row>
    <row r="395" spans="1:8" ht="15" thickBot="1" x14ac:dyDescent="0.4">
      <c r="A395" s="172" t="s">
        <v>60</v>
      </c>
      <c r="B395" s="74">
        <f>2341650+98000</f>
        <v>2439650</v>
      </c>
      <c r="C395" s="181">
        <f>2341650+98000</f>
        <v>2439650</v>
      </c>
      <c r="D395" s="75">
        <v>2026194.55</v>
      </c>
      <c r="E395" s="180">
        <f>D395/C395*100</f>
        <v>83.05267353923719</v>
      </c>
      <c r="F395" s="180">
        <v>1881882.06</v>
      </c>
      <c r="G395" s="75">
        <v>1435327.8</v>
      </c>
      <c r="H395" s="77">
        <f>C395-D395</f>
        <v>413455.44999999995</v>
      </c>
    </row>
    <row r="397" spans="1:8" ht="15" thickBot="1" x14ac:dyDescent="0.4"/>
    <row r="398" spans="1:8" ht="15" thickBot="1" x14ac:dyDescent="0.4">
      <c r="A398" s="194" t="s">
        <v>77</v>
      </c>
      <c r="B398" s="195"/>
      <c r="C398" s="195"/>
      <c r="D398" s="195"/>
      <c r="E398" s="195"/>
      <c r="F398" s="195"/>
      <c r="G398" s="195"/>
      <c r="H398" s="196"/>
    </row>
    <row r="399" spans="1:8" ht="58.5" thickBot="1" x14ac:dyDescent="0.4">
      <c r="A399" s="173" t="s">
        <v>1</v>
      </c>
      <c r="B399" s="174" t="s">
        <v>2</v>
      </c>
      <c r="C399" s="191" t="s">
        <v>3</v>
      </c>
      <c r="D399" s="174" t="s">
        <v>4</v>
      </c>
      <c r="E399" s="175" t="s">
        <v>75</v>
      </c>
      <c r="F399" s="175" t="s">
        <v>67</v>
      </c>
      <c r="G399" s="174" t="s">
        <v>68</v>
      </c>
      <c r="H399" s="176" t="s">
        <v>69</v>
      </c>
    </row>
    <row r="400" spans="1:8" x14ac:dyDescent="0.35">
      <c r="A400" s="157" t="s">
        <v>9</v>
      </c>
      <c r="B400" s="9">
        <f>B401+B409+B412+B414+B418+B422+B427+B429</f>
        <v>43689200</v>
      </c>
      <c r="C400" s="183">
        <f>C401+C409+C412+C414+C418+C422+C427+C429</f>
        <v>43689200</v>
      </c>
      <c r="D400" s="9">
        <f>D401+D409+D412+D414+D418+D422+D427+D429</f>
        <v>39512343.300000004</v>
      </c>
      <c r="E400" s="10">
        <f>D400/C400*100</f>
        <v>90.439612764710745</v>
      </c>
      <c r="F400" s="9">
        <f>F401+F409+F412+F414+F418+F422+F427+F429</f>
        <v>34585666.780000001</v>
      </c>
      <c r="G400" s="209">
        <f>G401+G409+G412+G414+G418+G422+G427+G429</f>
        <v>31738265.490000002</v>
      </c>
      <c r="H400" s="11">
        <f>H401+H409+H412+H414+H418+H422+H427+H429</f>
        <v>4176856.7000000007</v>
      </c>
    </row>
    <row r="401" spans="1:8" x14ac:dyDescent="0.35">
      <c r="A401" s="159" t="s">
        <v>10</v>
      </c>
      <c r="B401" s="17">
        <f>SUM(B402:B408)</f>
        <v>11810700</v>
      </c>
      <c r="C401" s="185">
        <f>SUM(C402:C408)</f>
        <v>11810700</v>
      </c>
      <c r="D401" s="17">
        <f>SUM(D402:D408)</f>
        <v>11555900.73</v>
      </c>
      <c r="E401" s="18">
        <f>D401/C401*100</f>
        <v>97.84264040234703</v>
      </c>
      <c r="F401" s="17">
        <f>SUM(F402:F408)</f>
        <v>11115664.289999999</v>
      </c>
      <c r="G401" s="177">
        <f>SUM(G402:G408)</f>
        <v>10336309.17</v>
      </c>
      <c r="H401" s="19">
        <f>SUM(H402:H408)</f>
        <v>254799.27000000011</v>
      </c>
    </row>
    <row r="402" spans="1:8" x14ac:dyDescent="0.35">
      <c r="A402" s="160" t="s">
        <v>12</v>
      </c>
      <c r="B402" s="22">
        <v>5445000</v>
      </c>
      <c r="C402" s="179">
        <v>5445000</v>
      </c>
      <c r="D402" s="22">
        <v>5445000</v>
      </c>
      <c r="E402" s="22">
        <f>D402/C402*100</f>
        <v>100</v>
      </c>
      <c r="F402" s="22">
        <v>5445000</v>
      </c>
      <c r="G402" s="22">
        <v>5000000</v>
      </c>
      <c r="H402" s="24">
        <f t="shared" ref="H402:H408" si="69">C402-D402</f>
        <v>0</v>
      </c>
    </row>
    <row r="403" spans="1:8" x14ac:dyDescent="0.35">
      <c r="A403" s="160" t="s">
        <v>14</v>
      </c>
      <c r="B403" s="26">
        <v>2320910</v>
      </c>
      <c r="C403" s="26">
        <v>2320910</v>
      </c>
      <c r="D403" s="26">
        <v>2281384.48</v>
      </c>
      <c r="E403" s="22">
        <f t="shared" ref="E403:E408" si="70">D403/C403*100</f>
        <v>98.296981787316184</v>
      </c>
      <c r="F403" s="22">
        <v>2054957.27</v>
      </c>
      <c r="G403" s="178">
        <v>1857383.2</v>
      </c>
      <c r="H403" s="28">
        <f t="shared" si="69"/>
        <v>39525.520000000019</v>
      </c>
    </row>
    <row r="404" spans="1:8" x14ac:dyDescent="0.35">
      <c r="A404" s="160" t="s">
        <v>16</v>
      </c>
      <c r="B404" s="26">
        <v>971000</v>
      </c>
      <c r="C404" s="179">
        <v>971000</v>
      </c>
      <c r="D404" s="26">
        <v>971000</v>
      </c>
      <c r="E404" s="22">
        <f t="shared" si="70"/>
        <v>100</v>
      </c>
      <c r="F404" s="22">
        <v>971000</v>
      </c>
      <c r="G404" s="178">
        <v>971000</v>
      </c>
      <c r="H404" s="28">
        <f t="shared" si="69"/>
        <v>0</v>
      </c>
    </row>
    <row r="405" spans="1:8" x14ac:dyDescent="0.35">
      <c r="A405" s="160" t="s">
        <v>18</v>
      </c>
      <c r="B405" s="26">
        <v>433100</v>
      </c>
      <c r="C405" s="26">
        <v>433100</v>
      </c>
      <c r="D405" s="26">
        <v>430043.56</v>
      </c>
      <c r="E405" s="22">
        <f t="shared" si="70"/>
        <v>99.294287693373349</v>
      </c>
      <c r="F405" s="22">
        <v>356513.36</v>
      </c>
      <c r="G405" s="178">
        <v>356513.36</v>
      </c>
      <c r="H405" s="28">
        <f t="shared" si="69"/>
        <v>3056.4400000000023</v>
      </c>
    </row>
    <row r="406" spans="1:8" x14ac:dyDescent="0.35">
      <c r="A406" s="160" t="s">
        <v>20</v>
      </c>
      <c r="B406" s="26">
        <v>581300</v>
      </c>
      <c r="C406" s="179">
        <v>581300</v>
      </c>
      <c r="D406" s="26">
        <v>581274</v>
      </c>
      <c r="E406" s="22">
        <f t="shared" si="70"/>
        <v>99.995527266471711</v>
      </c>
      <c r="F406" s="22">
        <v>508959</v>
      </c>
      <c r="G406" s="22">
        <v>475256.37</v>
      </c>
      <c r="H406" s="28">
        <f t="shared" si="69"/>
        <v>26</v>
      </c>
    </row>
    <row r="407" spans="1:8" x14ac:dyDescent="0.35">
      <c r="A407" s="161" t="s">
        <v>22</v>
      </c>
      <c r="B407" s="26">
        <v>291490</v>
      </c>
      <c r="C407" s="26">
        <v>291490</v>
      </c>
      <c r="D407" s="26">
        <v>162329.03</v>
      </c>
      <c r="E407" s="22">
        <f t="shared" si="70"/>
        <v>55.689399293286222</v>
      </c>
      <c r="F407" s="22">
        <v>134563.68</v>
      </c>
      <c r="G407" s="22">
        <v>62052.01</v>
      </c>
      <c r="H407" s="28">
        <f t="shared" si="69"/>
        <v>129160.97</v>
      </c>
    </row>
    <row r="408" spans="1:8" x14ac:dyDescent="0.35">
      <c r="A408" s="160" t="s">
        <v>24</v>
      </c>
      <c r="B408" s="26">
        <v>1767900</v>
      </c>
      <c r="C408" s="26">
        <v>1767900</v>
      </c>
      <c r="D408" s="26">
        <v>1684869.66</v>
      </c>
      <c r="E408" s="26">
        <f t="shared" si="70"/>
        <v>95.303448158832509</v>
      </c>
      <c r="F408" s="26">
        <v>1644670.98</v>
      </c>
      <c r="G408" s="22">
        <v>1614104.23</v>
      </c>
      <c r="H408" s="28">
        <f t="shared" si="69"/>
        <v>83030.340000000084</v>
      </c>
    </row>
    <row r="409" spans="1:8" x14ac:dyDescent="0.35">
      <c r="A409" s="159" t="s">
        <v>25</v>
      </c>
      <c r="B409" s="17">
        <f>SUM(B410:B411)</f>
        <v>813670</v>
      </c>
      <c r="C409" s="185">
        <f t="shared" ref="C409:D409" si="71">SUM(C410:C411)</f>
        <v>813670</v>
      </c>
      <c r="D409" s="17">
        <f t="shared" si="71"/>
        <v>809529.90999999992</v>
      </c>
      <c r="E409" s="18">
        <f>D409/C409*100</f>
        <v>99.491183157791227</v>
      </c>
      <c r="F409" s="17">
        <f>SUM(F410:F411)</f>
        <v>698441.49</v>
      </c>
      <c r="G409" s="17">
        <f>SUM(G410:G411)</f>
        <v>663131.49</v>
      </c>
      <c r="H409" s="19">
        <f>SUM(H410:H411)</f>
        <v>4140.0900000000256</v>
      </c>
    </row>
    <row r="410" spans="1:8" x14ac:dyDescent="0.35">
      <c r="A410" s="158" t="s">
        <v>27</v>
      </c>
      <c r="B410" s="33">
        <v>400670</v>
      </c>
      <c r="C410" s="69">
        <v>400670</v>
      </c>
      <c r="D410" s="22">
        <v>399395.25</v>
      </c>
      <c r="E410" s="23">
        <f>D410/C410*100</f>
        <v>99.681845408940035</v>
      </c>
      <c r="F410" s="22">
        <v>399395.25</v>
      </c>
      <c r="G410" s="22">
        <v>364085.25</v>
      </c>
      <c r="H410" s="34">
        <f>C410-D410</f>
        <v>1274.75</v>
      </c>
    </row>
    <row r="411" spans="1:8" x14ac:dyDescent="0.35">
      <c r="A411" s="158" t="s">
        <v>29</v>
      </c>
      <c r="B411" s="33">
        <v>413000</v>
      </c>
      <c r="C411" s="33">
        <v>413000</v>
      </c>
      <c r="D411" s="22">
        <v>410134.66</v>
      </c>
      <c r="E411" s="23">
        <f>D411/C411*100</f>
        <v>99.306213075060526</v>
      </c>
      <c r="F411" s="22">
        <v>299046.24</v>
      </c>
      <c r="G411" s="22">
        <v>299046.24</v>
      </c>
      <c r="H411" s="34">
        <f>C411-D411</f>
        <v>2865.3400000000256</v>
      </c>
    </row>
    <row r="412" spans="1:8" x14ac:dyDescent="0.35">
      <c r="A412" s="162" t="s">
        <v>30</v>
      </c>
      <c r="B412" s="9">
        <f>SUM(B413)</f>
        <v>2500000</v>
      </c>
      <c r="C412" s="183">
        <f>SUM(C413)</f>
        <v>2500000</v>
      </c>
      <c r="D412" s="9">
        <f>SUM(D413)</f>
        <v>2500000</v>
      </c>
      <c r="E412" s="10">
        <f>D412/C412*100</f>
        <v>100</v>
      </c>
      <c r="F412" s="40">
        <f>SUM(F413)</f>
        <v>2500000</v>
      </c>
      <c r="G412" s="209">
        <f>G413</f>
        <v>2500000</v>
      </c>
      <c r="H412" s="34">
        <f t="shared" ref="H412:H413" si="72">C412-D412</f>
        <v>0</v>
      </c>
    </row>
    <row r="413" spans="1:8" x14ac:dyDescent="0.35">
      <c r="A413" s="158" t="s">
        <v>30</v>
      </c>
      <c r="B413" s="38">
        <v>2500000</v>
      </c>
      <c r="C413" s="69">
        <v>2500000</v>
      </c>
      <c r="D413" s="38">
        <v>2500000</v>
      </c>
      <c r="E413" s="22">
        <f>D413/C413*100</f>
        <v>100</v>
      </c>
      <c r="F413" s="22">
        <v>2500000</v>
      </c>
      <c r="G413" s="22">
        <v>2500000</v>
      </c>
      <c r="H413" s="34">
        <f t="shared" si="72"/>
        <v>0</v>
      </c>
    </row>
    <row r="414" spans="1:8" x14ac:dyDescent="0.35">
      <c r="A414" s="159" t="s">
        <v>32</v>
      </c>
      <c r="B414" s="40">
        <f>SUM(B415:B417)</f>
        <v>7837192</v>
      </c>
      <c r="C414" s="185">
        <f>SUM(C415:C417)</f>
        <v>7837192</v>
      </c>
      <c r="D414" s="40">
        <f>SUM(D415:D417)</f>
        <v>7404662.96</v>
      </c>
      <c r="E414" s="41">
        <f>D414/C414*100</f>
        <v>94.481071281652916</v>
      </c>
      <c r="F414" s="40">
        <f>SUM(F415:F417)</f>
        <v>6131184.3200000003</v>
      </c>
      <c r="G414" s="177">
        <f>SUM(G415:G417)</f>
        <v>5693698.6600000001</v>
      </c>
      <c r="H414" s="11">
        <f>SUM(H415:H417)</f>
        <v>432529.03999999975</v>
      </c>
    </row>
    <row r="415" spans="1:8" x14ac:dyDescent="0.35">
      <c r="A415" s="158" t="s">
        <v>34</v>
      </c>
      <c r="B415" s="26">
        <v>2496700</v>
      </c>
      <c r="C415" s="26">
        <v>2496700</v>
      </c>
      <c r="D415" s="26">
        <v>2357880.48</v>
      </c>
      <c r="E415" s="26">
        <f>D415/C415*100</f>
        <v>94.439879841390635</v>
      </c>
      <c r="F415" s="26">
        <v>2109009.5099999998</v>
      </c>
      <c r="G415" s="178">
        <v>1938416.2</v>
      </c>
      <c r="H415" s="28">
        <f>C415-D415</f>
        <v>138819.52000000002</v>
      </c>
    </row>
    <row r="416" spans="1:8" x14ac:dyDescent="0.35">
      <c r="A416" s="163" t="s">
        <v>36</v>
      </c>
      <c r="B416" s="26">
        <v>5149992</v>
      </c>
      <c r="C416" s="26">
        <v>5149992</v>
      </c>
      <c r="D416" s="26">
        <v>4880191.28</v>
      </c>
      <c r="E416" s="26">
        <f>D416/C416*100</f>
        <v>94.76114292993077</v>
      </c>
      <c r="F416" s="26">
        <v>3857025.99</v>
      </c>
      <c r="G416" s="22">
        <v>3602843.99</v>
      </c>
      <c r="H416" s="28">
        <f>C416-D416</f>
        <v>269800.71999999974</v>
      </c>
    </row>
    <row r="417" spans="1:8" x14ac:dyDescent="0.35">
      <c r="A417" s="164" t="s">
        <v>38</v>
      </c>
      <c r="B417" s="138">
        <v>190500</v>
      </c>
      <c r="C417" s="138">
        <v>190500</v>
      </c>
      <c r="D417" s="26">
        <v>166591.20000000001</v>
      </c>
      <c r="E417" s="26">
        <f>D417/C417*100</f>
        <v>87.44944881889765</v>
      </c>
      <c r="F417" s="26">
        <v>165148.82</v>
      </c>
      <c r="G417" s="22">
        <v>152438.47</v>
      </c>
      <c r="H417" s="28">
        <f>C417-D417</f>
        <v>23908.799999999988</v>
      </c>
    </row>
    <row r="418" spans="1:8" x14ac:dyDescent="0.35">
      <c r="A418" s="165" t="s">
        <v>39</v>
      </c>
      <c r="B418" s="140">
        <f>SUM(B419:B421)</f>
        <v>2184738</v>
      </c>
      <c r="C418" s="185">
        <f>SUM(C419:C421)</f>
        <v>2184738</v>
      </c>
      <c r="D418" s="40">
        <f>SUM(D419:D421)</f>
        <v>2064132.57</v>
      </c>
      <c r="E418" s="41">
        <f>D418/C418*100</f>
        <v>94.479638748444899</v>
      </c>
      <c r="F418" s="40">
        <f>SUM(F419:F421)</f>
        <v>2030836.47</v>
      </c>
      <c r="G418" s="17">
        <f>SUM(G419:G421)</f>
        <v>1776885.92</v>
      </c>
      <c r="H418" s="166">
        <f>SUM(H419:H421)</f>
        <v>120605.42999999992</v>
      </c>
    </row>
    <row r="419" spans="1:8" x14ac:dyDescent="0.35">
      <c r="A419" s="1" t="s">
        <v>41</v>
      </c>
      <c r="B419" s="65">
        <v>1861158</v>
      </c>
      <c r="C419" s="65">
        <v>1861158</v>
      </c>
      <c r="D419" s="38">
        <v>1756428.08</v>
      </c>
      <c r="E419" s="26">
        <f>D419/C419*100</f>
        <v>94.372862486688405</v>
      </c>
      <c r="F419" s="26">
        <v>1724333.69</v>
      </c>
      <c r="G419" s="33">
        <v>1470775.24</v>
      </c>
      <c r="H419" s="167">
        <f>C419-D419</f>
        <v>104729.91999999993</v>
      </c>
    </row>
    <row r="420" spans="1:8" x14ac:dyDescent="0.35">
      <c r="A420" s="152" t="s">
        <v>43</v>
      </c>
      <c r="B420" s="65">
        <v>23580</v>
      </c>
      <c r="C420" s="69">
        <v>23580</v>
      </c>
      <c r="D420" s="38">
        <v>7704.49</v>
      </c>
      <c r="E420" s="26">
        <f t="shared" ref="E420:E421" si="73">D420/C420*100</f>
        <v>32.673833757421548</v>
      </c>
      <c r="F420" s="26">
        <v>6502.78</v>
      </c>
      <c r="G420" s="33">
        <v>6110.68</v>
      </c>
      <c r="H420" s="167">
        <f>C420-D420</f>
        <v>15875.51</v>
      </c>
    </row>
    <row r="421" spans="1:8" x14ac:dyDescent="0.35">
      <c r="A421" s="168" t="s">
        <v>45</v>
      </c>
      <c r="B421" s="139">
        <v>300000</v>
      </c>
      <c r="C421" s="184">
        <v>300000</v>
      </c>
      <c r="D421" s="46">
        <v>300000</v>
      </c>
      <c r="E421" s="30">
        <f t="shared" si="73"/>
        <v>100</v>
      </c>
      <c r="F421" s="30">
        <v>300000</v>
      </c>
      <c r="G421" s="210">
        <v>300000</v>
      </c>
      <c r="H421" s="66">
        <f>C421-D421</f>
        <v>0</v>
      </c>
    </row>
    <row r="422" spans="1:8" x14ac:dyDescent="0.35">
      <c r="A422" s="162" t="s">
        <v>46</v>
      </c>
      <c r="B422" s="9">
        <f>SUM(B423:B426)</f>
        <v>5840100</v>
      </c>
      <c r="C422" s="192">
        <f>SUM(C423:C426)</f>
        <v>5840100</v>
      </c>
      <c r="D422" s="61">
        <f>SUM(D423:D426)</f>
        <v>5370927.8000000007</v>
      </c>
      <c r="E422" s="10">
        <f>D422/C422*100</f>
        <v>91.966367014263469</v>
      </c>
      <c r="F422" s="9">
        <f>SUM(F423:F426)</f>
        <v>5042404.3899999997</v>
      </c>
      <c r="G422" s="211">
        <f>SUM(G423:G426)</f>
        <v>4870320.49</v>
      </c>
      <c r="H422" s="11">
        <f>SUM(H423:H426)</f>
        <v>469172.19999999995</v>
      </c>
    </row>
    <row r="423" spans="1:8" x14ac:dyDescent="0.35">
      <c r="A423" s="160" t="s">
        <v>48</v>
      </c>
      <c r="B423" s="38">
        <v>3600000</v>
      </c>
      <c r="C423" s="193">
        <v>3600000</v>
      </c>
      <c r="D423" s="55">
        <v>3600000</v>
      </c>
      <c r="E423" s="26">
        <v>0</v>
      </c>
      <c r="F423" s="55">
        <v>3600000</v>
      </c>
      <c r="G423" s="178">
        <v>3600000</v>
      </c>
      <c r="H423" s="28">
        <f>C423-D423</f>
        <v>0</v>
      </c>
    </row>
    <row r="424" spans="1:8" x14ac:dyDescent="0.35">
      <c r="A424" s="158" t="s">
        <v>50</v>
      </c>
      <c r="B424" s="38">
        <v>125600</v>
      </c>
      <c r="C424" s="64">
        <v>125600</v>
      </c>
      <c r="D424" s="64">
        <v>78216.37</v>
      </c>
      <c r="E424" s="26">
        <f>D424/C424*100</f>
        <v>62.274179936305728</v>
      </c>
      <c r="F424" s="138">
        <v>74497.37</v>
      </c>
      <c r="G424" s="212">
        <v>72849.37</v>
      </c>
      <c r="H424" s="28">
        <f>C424-D424</f>
        <v>47383.630000000005</v>
      </c>
    </row>
    <row r="425" spans="1:8" x14ac:dyDescent="0.35">
      <c r="A425" s="158" t="s">
        <v>52</v>
      </c>
      <c r="B425" s="38">
        <v>1009800</v>
      </c>
      <c r="C425" s="38">
        <v>1009800</v>
      </c>
      <c r="D425" s="64">
        <v>841505.78</v>
      </c>
      <c r="E425" s="26">
        <f>D425/C425*100</f>
        <v>83.333905723905715</v>
      </c>
      <c r="F425" s="26">
        <v>685670.1</v>
      </c>
      <c r="G425" s="33">
        <v>580484.41</v>
      </c>
      <c r="H425" s="28">
        <f>C425-D425</f>
        <v>168294.21999999997</v>
      </c>
    </row>
    <row r="426" spans="1:8" x14ac:dyDescent="0.35">
      <c r="A426" s="158" t="s">
        <v>54</v>
      </c>
      <c r="B426" s="38">
        <v>1104700</v>
      </c>
      <c r="C426" s="38">
        <v>1104700</v>
      </c>
      <c r="D426" s="63">
        <v>851205.65</v>
      </c>
      <c r="E426" s="26">
        <f>D426/C426*100</f>
        <v>77.053104915361644</v>
      </c>
      <c r="F426" s="26">
        <v>682236.92</v>
      </c>
      <c r="G426" s="33">
        <v>616986.71</v>
      </c>
      <c r="H426" s="28">
        <f>C426-D426</f>
        <v>253494.34999999998</v>
      </c>
    </row>
    <row r="427" spans="1:8" x14ac:dyDescent="0.35">
      <c r="A427" s="162" t="s">
        <v>55</v>
      </c>
      <c r="B427" s="9">
        <f>SUM(B428)</f>
        <v>638100</v>
      </c>
      <c r="C427" s="183">
        <f>SUM(C428)</f>
        <v>638100</v>
      </c>
      <c r="D427" s="61">
        <f>SUM(D428)</f>
        <v>571809.66</v>
      </c>
      <c r="E427" s="10">
        <f t="shared" ref="E427" si="74">D427/C427*100</f>
        <v>89.611292900799256</v>
      </c>
      <c r="F427" s="9">
        <f>SUM(F428)</f>
        <v>508782.3</v>
      </c>
      <c r="G427" s="211">
        <f>SUM(G428)</f>
        <v>443319.48</v>
      </c>
      <c r="H427" s="11">
        <f>SUM(H428)</f>
        <v>66290.339999999967</v>
      </c>
    </row>
    <row r="428" spans="1:8" x14ac:dyDescent="0.35">
      <c r="A428" s="160" t="s">
        <v>57</v>
      </c>
      <c r="B428" s="38">
        <v>638100</v>
      </c>
      <c r="C428" s="38">
        <v>638100</v>
      </c>
      <c r="D428" s="63">
        <v>571809.66</v>
      </c>
      <c r="E428" s="26">
        <f>D428/C428*100</f>
        <v>89.611292900799256</v>
      </c>
      <c r="F428" s="26">
        <v>508782.3</v>
      </c>
      <c r="G428" s="33">
        <v>443319.48</v>
      </c>
      <c r="H428" s="28">
        <f>C428-D428</f>
        <v>66290.339999999967</v>
      </c>
    </row>
    <row r="429" spans="1:8" x14ac:dyDescent="0.35">
      <c r="A429" s="162" t="s">
        <v>58</v>
      </c>
      <c r="B429" s="9">
        <f>SUM(B430:B431)</f>
        <v>12064700</v>
      </c>
      <c r="C429" s="9">
        <f t="shared" ref="C429:D429" si="75">SUM(C430:C431)</f>
        <v>12064700</v>
      </c>
      <c r="D429" s="9">
        <f t="shared" si="75"/>
        <v>9235379.6699999999</v>
      </c>
      <c r="E429" s="10">
        <f>D429/C429*100</f>
        <v>76.548771788772214</v>
      </c>
      <c r="F429" s="9">
        <f>SUM(F430:F431)</f>
        <v>6558353.5199999996</v>
      </c>
      <c r="G429" s="211">
        <f>SUM(G430:G431)</f>
        <v>5454600.2799999993</v>
      </c>
      <c r="H429" s="11">
        <f>SUM(H430:H431)</f>
        <v>2829320.330000001</v>
      </c>
    </row>
    <row r="430" spans="1:8" x14ac:dyDescent="0.35">
      <c r="A430" s="161" t="s">
        <v>60</v>
      </c>
      <c r="B430" s="68">
        <f>9263379+361671</f>
        <v>9625050</v>
      </c>
      <c r="C430" s="182">
        <f>9263379+361671</f>
        <v>9625050</v>
      </c>
      <c r="D430" s="69">
        <f>6983633.27+225551.85</f>
        <v>7209185.1199999992</v>
      </c>
      <c r="E430" s="179">
        <f>D430/C430*100</f>
        <v>74.900235531243993</v>
      </c>
      <c r="F430" s="179">
        <f>4424475.78+225551.85</f>
        <v>4650027.63</v>
      </c>
      <c r="G430" s="33">
        <f>3643537.13+194678.84</f>
        <v>3838215.9699999997</v>
      </c>
      <c r="H430" s="28">
        <f>C430-D430</f>
        <v>2415864.8800000008</v>
      </c>
    </row>
    <row r="431" spans="1:8" ht="15" thickBot="1" x14ac:dyDescent="0.4">
      <c r="A431" s="172" t="s">
        <v>60</v>
      </c>
      <c r="B431" s="213">
        <f>2341650+98000</f>
        <v>2439650</v>
      </c>
      <c r="C431" s="181">
        <f>2341650+98000</f>
        <v>2439650</v>
      </c>
      <c r="D431" s="75">
        <v>2026194.55</v>
      </c>
      <c r="E431" s="180">
        <f>D431/C431*100</f>
        <v>83.05267353923719</v>
      </c>
      <c r="F431" s="180">
        <v>1908325.89</v>
      </c>
      <c r="G431" s="214">
        <v>1616384.31</v>
      </c>
      <c r="H431" s="77">
        <f>C431-D431</f>
        <v>413455.44999999995</v>
      </c>
    </row>
  </sheetData>
  <mergeCells count="12">
    <mergeCell ref="A398:H398"/>
    <mergeCell ref="A362:H362"/>
    <mergeCell ref="A1:H1"/>
    <mergeCell ref="A38:H38"/>
    <mergeCell ref="A74:H74"/>
    <mergeCell ref="A110:H110"/>
    <mergeCell ref="A146:I146"/>
    <mergeCell ref="A326:H326"/>
    <mergeCell ref="A290:H290"/>
    <mergeCell ref="A254:H254"/>
    <mergeCell ref="A218:H218"/>
    <mergeCell ref="A182:H18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DAB0A-6179-4D60-B82F-868E86A07B10}">
  <dimension ref="A1"/>
  <sheetViews>
    <sheetView workbookViewId="0"/>
  </sheetViews>
  <sheetFormatPr baseColWidth="10" defaultColWidth="8.7265625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Solano</dc:creator>
  <cp:lastModifiedBy>Jean Bernal</cp:lastModifiedBy>
  <cp:lastPrinted>2018-04-18T19:45:35Z</cp:lastPrinted>
  <dcterms:created xsi:type="dcterms:W3CDTF">2018-04-18T19:38:29Z</dcterms:created>
  <dcterms:modified xsi:type="dcterms:W3CDTF">2019-01-08T15:10:20Z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da8f8f1b3b93482e9800e5c6ad10c47e</vt:lpwstr>
  </property>
</Properties>
</file>