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herrera\OneDrive - Sistema Estatal de Radio y Televisión (SERTV)\Documentos\TRANSPARENCIA\RADIO\Radio transparencia 2025\"/>
    </mc:Choice>
  </mc:AlternateContent>
  <xr:revisionPtr revIDLastSave="0" documentId="13_ncr:1_{4D779CC9-9C1C-48DE-82B7-A14577A9E6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111" i="1"/>
  <c r="C75" i="1"/>
  <c r="C74" i="1"/>
  <c r="C73" i="1"/>
  <c r="E73" i="1" s="1"/>
  <c r="C72" i="1"/>
  <c r="C68" i="1"/>
  <c r="C67" i="1"/>
  <c r="C69" i="1"/>
  <c r="C66" i="1"/>
  <c r="C62" i="1"/>
  <c r="C61" i="1"/>
  <c r="C60" i="1"/>
  <c r="C59" i="1"/>
  <c r="C58" i="1"/>
  <c r="C57" i="1"/>
  <c r="C56" i="1"/>
  <c r="C12" i="1"/>
  <c r="C54" i="1"/>
  <c r="C65" i="1"/>
  <c r="C55" i="1"/>
  <c r="C64" i="1"/>
  <c r="E51" i="1"/>
  <c r="C51" i="1"/>
  <c r="C49" i="1"/>
  <c r="C28" i="1"/>
  <c r="C29" i="1"/>
  <c r="C44" i="1"/>
  <c r="C30" i="1"/>
  <c r="E44" i="1"/>
  <c r="C46" i="1"/>
  <c r="E46" i="1"/>
  <c r="C48" i="1"/>
  <c r="E48" i="1"/>
  <c r="C50" i="1"/>
  <c r="E50" i="1"/>
  <c r="C52" i="1"/>
  <c r="E52" i="1" s="1"/>
  <c r="C53" i="1"/>
  <c r="E53" i="1"/>
  <c r="E54" i="1"/>
  <c r="E55" i="1"/>
  <c r="E58" i="1"/>
  <c r="E59" i="1"/>
  <c r="E60" i="1"/>
  <c r="E61" i="1"/>
  <c r="E62" i="1"/>
  <c r="C63" i="1"/>
  <c r="E64" i="1"/>
  <c r="E66" i="1"/>
  <c r="E67" i="1"/>
  <c r="E68" i="1"/>
  <c r="E69" i="1"/>
  <c r="C70" i="1"/>
  <c r="C71" i="1"/>
  <c r="E72" i="1"/>
  <c r="E75" i="1"/>
  <c r="C76" i="1"/>
  <c r="E76" i="1"/>
  <c r="C81" i="1"/>
  <c r="E81" i="1"/>
  <c r="C83" i="1"/>
  <c r="E83" i="1"/>
  <c r="C85" i="1"/>
  <c r="E85" i="1"/>
  <c r="E87" i="1"/>
  <c r="C91" i="1"/>
  <c r="E91" i="1"/>
  <c r="C94" i="1"/>
  <c r="E94" i="1"/>
  <c r="C99" i="1"/>
  <c r="E99" i="1"/>
  <c r="C100" i="1"/>
  <c r="E100" i="1"/>
  <c r="C101" i="1"/>
  <c r="E101" i="1"/>
  <c r="C105" i="1"/>
  <c r="E105" i="1"/>
  <c r="C109" i="1"/>
  <c r="E109" i="1"/>
  <c r="C110" i="1"/>
  <c r="E110" i="1"/>
  <c r="E111" i="1"/>
  <c r="C16" i="1"/>
  <c r="C15" i="1"/>
  <c r="C9" i="1"/>
  <c r="C11" i="1"/>
  <c r="E11" i="1" s="1"/>
  <c r="C3" i="1"/>
  <c r="C10" i="1"/>
  <c r="C2" i="1"/>
  <c r="E19" i="1"/>
  <c r="C19" i="1"/>
  <c r="E18" i="1"/>
  <c r="C18" i="1"/>
  <c r="E21" i="1"/>
  <c r="C21" i="1"/>
  <c r="C14" i="1"/>
  <c r="E17" i="1"/>
  <c r="C17" i="1"/>
  <c r="C13" i="1"/>
  <c r="C27" i="1" l="1"/>
  <c r="C26" i="1"/>
  <c r="E22" i="1"/>
  <c r="C22" i="1"/>
  <c r="E12" i="1" l="1"/>
  <c r="E27" i="1"/>
  <c r="E30" i="1"/>
  <c r="E24" i="1" l="1"/>
  <c r="C24" i="1"/>
  <c r="E28" i="1" l="1"/>
  <c r="E26" i="1"/>
  <c r="E29" i="1"/>
  <c r="E14" i="1"/>
  <c r="E4" i="1"/>
  <c r="C4" i="1"/>
  <c r="E9" i="1"/>
</calcChain>
</file>

<file path=xl/sharedStrings.xml><?xml version="1.0" encoding="utf-8"?>
<sst xmlns="http://schemas.openxmlformats.org/spreadsheetml/2006/main" count="365" uniqueCount="198">
  <si>
    <t xml:space="preserve">Boletín deportivo </t>
  </si>
  <si>
    <t>Planeta Pop Urbano</t>
  </si>
  <si>
    <t>TEMÁTICA</t>
  </si>
  <si>
    <t xml:space="preserve">EMISIONES MENSUALES </t>
  </si>
  <si>
    <t xml:space="preserve">DURACIÓN EN HORAS </t>
  </si>
  <si>
    <t xml:space="preserve">TOTAL DE HORAS </t>
  </si>
  <si>
    <t xml:space="preserve">EMISORA EN LA QUE SE TRANSMITE </t>
  </si>
  <si>
    <t>Crisol FM</t>
  </si>
  <si>
    <t>Deportivo</t>
  </si>
  <si>
    <t>Musical</t>
  </si>
  <si>
    <t xml:space="preserve">Nacional FM/AM y Crisol FM </t>
  </si>
  <si>
    <t>Nacional FM/AM</t>
  </si>
  <si>
    <t xml:space="preserve">Nacional FM/AM </t>
  </si>
  <si>
    <t>Conexión 80</t>
  </si>
  <si>
    <t>Familia con propósito</t>
  </si>
  <si>
    <t>Noticiero Mediodía Radio</t>
  </si>
  <si>
    <t>Noticiero Radio Nacional Matutino</t>
  </si>
  <si>
    <t xml:space="preserve">Playlist Recargado </t>
  </si>
  <si>
    <t>SERTV Noticias Matutino</t>
  </si>
  <si>
    <t xml:space="preserve">Actualidad Deportiva </t>
  </si>
  <si>
    <t>La Encomienda</t>
  </si>
  <si>
    <t>La Hora 9</t>
  </si>
  <si>
    <t xml:space="preserve">La Voz del Pueblo Diurem  y Voces de la Tierra </t>
  </si>
  <si>
    <t>Voces Latinas</t>
  </si>
  <si>
    <t xml:space="preserve"> 2 minutos</t>
  </si>
  <si>
    <t>Noticioso</t>
  </si>
  <si>
    <t>4 minutos</t>
  </si>
  <si>
    <t>Entretenimiento</t>
  </si>
  <si>
    <t>Educativo/Familiar</t>
  </si>
  <si>
    <t>Noticioso/Informativo/Pueblos Originarios</t>
  </si>
  <si>
    <t>Noticioso/Cultural/Tecnología</t>
  </si>
  <si>
    <t xml:space="preserve">Noticiero Nacional Vespertino Radio </t>
  </si>
  <si>
    <t>Político Social</t>
  </si>
  <si>
    <t>Cápsulas Deportivas</t>
  </si>
  <si>
    <t>Musical/Folclórico</t>
  </si>
  <si>
    <t>Informativo/Órgano Judicial</t>
  </si>
  <si>
    <t>Informativo Universitario</t>
  </si>
  <si>
    <t>Nacional FM/AM/Crisol FM</t>
  </si>
  <si>
    <t>La Travesía</t>
  </si>
  <si>
    <t>Panorama Universitario</t>
  </si>
  <si>
    <t>Acontecer Electoral</t>
  </si>
  <si>
    <t>Actualidad Laboral</t>
  </si>
  <si>
    <t>Entretenimiento/Musical</t>
  </si>
  <si>
    <t>Informativo</t>
  </si>
  <si>
    <t>NacionalFM/AM</t>
  </si>
  <si>
    <t>ACODECO Radio</t>
  </si>
  <si>
    <t>Promocional/Musical</t>
  </si>
  <si>
    <t>NacionalFM/AM/Crisol FM</t>
  </si>
  <si>
    <t>Beats</t>
  </si>
  <si>
    <t>Entrenenimiento/Musical/Cultural</t>
  </si>
  <si>
    <t>Boletín Informativo</t>
  </si>
  <si>
    <t>30 segundos</t>
  </si>
  <si>
    <t xml:space="preserve">Cine con Sabor </t>
  </si>
  <si>
    <t>ITSE</t>
  </si>
  <si>
    <t xml:space="preserve">La Voz del Pueblo Guna </t>
  </si>
  <si>
    <t xml:space="preserve">Noticiero SERTV Medio día </t>
  </si>
  <si>
    <t>Resumen Internacional de Noticias</t>
  </si>
  <si>
    <t>Ranking Play</t>
  </si>
  <si>
    <t>Renato en Casa</t>
  </si>
  <si>
    <t>Nacional FM/AM/</t>
  </si>
  <si>
    <t>Transmisiones LPF</t>
  </si>
  <si>
    <t>Viva La Salsa</t>
  </si>
  <si>
    <t>Musical/Cultural</t>
  </si>
  <si>
    <t>Activación en Albrook Mall</t>
  </si>
  <si>
    <t>Activación en Los Andes Mall</t>
  </si>
  <si>
    <t>Cápsulas de prevención de SINAPROC</t>
  </si>
  <si>
    <t>A tu Salud Mental</t>
  </si>
  <si>
    <t>Voces Latinas Románticas</t>
  </si>
  <si>
    <t>Transmisiones de Presidencia</t>
  </si>
  <si>
    <t>Transmisiones del Béisbol Juvenil</t>
  </si>
  <si>
    <t>Transmisión del Campeonato de Las Américas</t>
  </si>
  <si>
    <t>Transmisiones de la Asamblea de Diputados</t>
  </si>
  <si>
    <t>Transmisiones del 2 de enero del Presidente</t>
  </si>
  <si>
    <t>Transmisiones del 9 de enero</t>
  </si>
  <si>
    <t>Pregúntale a Mulino</t>
  </si>
  <si>
    <t>Noticiero SERTV Estelar</t>
  </si>
  <si>
    <t>Noticiero Científico NCC y Retransmisión</t>
  </si>
  <si>
    <t>El jorón de los recuerdos</t>
  </si>
  <si>
    <t>Institucional/Orientación</t>
  </si>
  <si>
    <t>Orientación/Salud</t>
  </si>
  <si>
    <t>Música del Mundo/Cultural</t>
  </si>
  <si>
    <t>Orientación/Informativo</t>
  </si>
  <si>
    <t>Farándula/Musical</t>
  </si>
  <si>
    <t>Cultural/folclórico/Noticioso</t>
  </si>
  <si>
    <t>Musical e Histórico</t>
  </si>
  <si>
    <t>Estrellas</t>
  </si>
  <si>
    <t>Nacionall FM/AM</t>
  </si>
  <si>
    <t>Cultural</t>
  </si>
  <si>
    <t>2 a 4</t>
  </si>
  <si>
    <t>Transmisión del Festival del Almojábano</t>
  </si>
  <si>
    <t>Folclórico Cultural</t>
  </si>
  <si>
    <t>2 a 3</t>
  </si>
  <si>
    <t>Resumen de Farándula</t>
  </si>
  <si>
    <t>Activacion Feria de David</t>
  </si>
  <si>
    <t>Fiesta de Acordeones</t>
  </si>
  <si>
    <t>Preventivas de carnaval</t>
  </si>
  <si>
    <t>Conexión Asia</t>
  </si>
  <si>
    <t>Transmision Feria de David</t>
  </si>
  <si>
    <t>Verano en tu radio Carnaval</t>
  </si>
  <si>
    <t>Activación Pre Carnaval</t>
  </si>
  <si>
    <t>Activación Primera Dama</t>
  </si>
  <si>
    <t>Capsula día del amor y la amistad</t>
  </si>
  <si>
    <t>Cápsulas Voy y Vengo</t>
  </si>
  <si>
    <t>Anime/juvenil/artístico</t>
  </si>
  <si>
    <t>Panamá Al Día</t>
  </si>
  <si>
    <t>Noticioso/Análisis</t>
  </si>
  <si>
    <t>Transmisión Wegala Fest</t>
  </si>
  <si>
    <t>Transmisiones Mil Pollera</t>
  </si>
  <si>
    <t>Deportivo/informativo</t>
  </si>
  <si>
    <t>El Kraken</t>
  </si>
  <si>
    <t>Cultural/religiosa</t>
  </si>
  <si>
    <t>Cápsula de Semana Santa</t>
  </si>
  <si>
    <t>Informativa/Motivadora</t>
  </si>
  <si>
    <t>Cápsulas Productores</t>
  </si>
  <si>
    <t>A Media Mañana</t>
  </si>
  <si>
    <t>Tercer Tiempo</t>
  </si>
  <si>
    <t>Deportivo/Análisis</t>
  </si>
  <si>
    <t>Transmisión Sepelio Papa Francisco</t>
  </si>
  <si>
    <t>Histórico/Noticioso</t>
  </si>
  <si>
    <t>Cápsula Mes de la etnia negra</t>
  </si>
  <si>
    <t>Cápsula Bulling</t>
  </si>
  <si>
    <t>50 segundos</t>
  </si>
  <si>
    <t>Nacional FM/AM Crisol FM</t>
  </si>
  <si>
    <t>Cápsula de confección de cutarras</t>
  </si>
  <si>
    <t>Folclórico</t>
  </si>
  <si>
    <t>Transmisión Conference League</t>
  </si>
  <si>
    <t>Viento y marea</t>
  </si>
  <si>
    <t>Informativo Institucional</t>
  </si>
  <si>
    <t>Programación Carnaval</t>
  </si>
  <si>
    <t>Transmisión Consagración nuevo Papa</t>
  </si>
  <si>
    <t>Deportiva</t>
  </si>
  <si>
    <t>Transmisión Selección Femenina</t>
  </si>
  <si>
    <t>Informativo/Institucional</t>
  </si>
  <si>
    <t>Procuraduría Al día</t>
  </si>
  <si>
    <t>Semanario Judicial / Órgano Judicial</t>
  </si>
  <si>
    <t>La vida de colores</t>
  </si>
  <si>
    <t>Motivacional investigativo</t>
  </si>
  <si>
    <t>Transmisiones Santa Librada</t>
  </si>
  <si>
    <t>Cultural / Religioso</t>
  </si>
  <si>
    <t>Transmisiones Feria de Artesanías</t>
  </si>
  <si>
    <t>Folclórico / Cultural</t>
  </si>
  <si>
    <t>Deportes</t>
  </si>
  <si>
    <t>ADN Deportivo</t>
  </si>
  <si>
    <t>Frecuencia Rock</t>
  </si>
  <si>
    <t>Folkcast</t>
  </si>
  <si>
    <t>Folclórico / cultural</t>
  </si>
  <si>
    <t>Historico/cultural</t>
  </si>
  <si>
    <t>Orígenes y Legado</t>
  </si>
  <si>
    <t>Transmision Canal de Panama</t>
  </si>
  <si>
    <t>Noticiososo/Cultural</t>
  </si>
  <si>
    <t>Transmisiones Feria del Libro</t>
  </si>
  <si>
    <t>Cultural y educativo</t>
  </si>
  <si>
    <t>La Bitácora del Pescador</t>
  </si>
  <si>
    <t>Nacional FM</t>
  </si>
  <si>
    <t>10 min</t>
  </si>
  <si>
    <t>Transmisiones especial La Encomienda</t>
  </si>
  <si>
    <t>Folclorico cultural</t>
  </si>
  <si>
    <t>Transmision Festival de la Mejorana</t>
  </si>
  <si>
    <t>Cápsulas Patrias</t>
  </si>
  <si>
    <t>0.5 a 4</t>
  </si>
  <si>
    <t>3 a 4</t>
  </si>
  <si>
    <t>2h 30 min</t>
  </si>
  <si>
    <t>Transmisión Conferencia de Navidad</t>
  </si>
  <si>
    <t>Transmisión especial Toro Guapo de Antón</t>
  </si>
  <si>
    <t>Transmisión Manito Ocueño</t>
  </si>
  <si>
    <t>Transmisión Panamá Viejo</t>
  </si>
  <si>
    <t xml:space="preserve">Transmisión Europa League </t>
  </si>
  <si>
    <t>Transmisión Festival del Sombrero Pintao</t>
  </si>
  <si>
    <t>7h 20 min</t>
  </si>
  <si>
    <t>24h 30 min</t>
  </si>
  <si>
    <t>Transmision fiestas patrias</t>
  </si>
  <si>
    <t>Musical/Folclórico/civico</t>
  </si>
  <si>
    <t>Transmisiones Primera Dama</t>
  </si>
  <si>
    <t>Transmisión Panamá vs EL Salvador</t>
  </si>
  <si>
    <t>PROGRAMA - Informe mensual de Nacional AM y FM / Crisol FM de enero a diciembre 2025</t>
  </si>
  <si>
    <t>36h con 30 min</t>
  </si>
  <si>
    <t>34h con 30 min</t>
  </si>
  <si>
    <t>25h 30 min</t>
  </si>
  <si>
    <t>86h 40 min</t>
  </si>
  <si>
    <t>373h 28 min</t>
  </si>
  <si>
    <t>Especial Año Nuevo Resumen Noticias</t>
  </si>
  <si>
    <t>Especial Año Nuevo Resumen Internacional</t>
  </si>
  <si>
    <t>Especial Año Nuevo Fiesta de Acordeones</t>
  </si>
  <si>
    <t>Especial Año Nuevo DJ Brin</t>
  </si>
  <si>
    <t>Especial Año Nuevo DJ Renato</t>
  </si>
  <si>
    <t>Especial Año Nuevo DJ Máximo De León</t>
  </si>
  <si>
    <t>Especial Navideño DJ Renato</t>
  </si>
  <si>
    <t>Especial Navideño DJ Yala</t>
  </si>
  <si>
    <t>Especial Navideño Entre Mentes</t>
  </si>
  <si>
    <t>Orientacion/Informativo</t>
  </si>
  <si>
    <t>Especial Navideño Estrellas</t>
  </si>
  <si>
    <t>Especial Navideño Fabricio Velasquez</t>
  </si>
  <si>
    <t>Especial Navideño DJ Brin</t>
  </si>
  <si>
    <t>Especial navideño DJ Máximo De León</t>
  </si>
  <si>
    <t>47h 30 min</t>
  </si>
  <si>
    <t>30h 30 min</t>
  </si>
  <si>
    <t>57h 30 min</t>
  </si>
  <si>
    <t>Transmisión del Desfile Navideño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</si>
</sst>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/>
    <xf numFmtId="0" fontId="5" fillId="0" borderId="6" xfId="0" applyFont="1" applyBorder="1"/>
    <xf numFmtId="0" fontId="5" fillId="0" borderId="1" xfId="0" applyFont="1" applyBorder="1"/>
    <xf numFmtId="0" fontId="0" fillId="0" borderId="10" xfId="0" applyBorder="1"/>
    <xf numFmtId="0" fontId="0" fillId="0" borderId="9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0" fillId="0" borderId="8" xfId="0" applyFill="1" applyBorder="1"/>
    <xf numFmtId="0" fontId="5" fillId="0" borderId="8" xfId="0" applyFont="1" applyFill="1" applyBorder="1"/>
    <xf numFmtId="0" fontId="5" fillId="0" borderId="11" xfId="0" applyFont="1" applyFill="1" applyBorder="1"/>
    <xf numFmtId="0" fontId="0" fillId="0" borderId="10" xfId="0" applyBorder="1"/>
    <xf numFmtId="0" fontId="0" fillId="0" borderId="9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10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18A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F112" totalsRowShown="0" headerRowDxfId="9" headerRowBorderDxfId="8" tableBorderDxfId="7" totalsRowBorderDxfId="6">
  <tableColumns count="6">
    <tableColumn id="1" xr3:uid="{00000000-0010-0000-0000-000001000000}" name="PROGRAMA - Informe mensual de Nacional AM y FM / Crisol FM de enero a diciembre 2025" dataDxfId="5"/>
    <tableColumn id="2" xr3:uid="{00000000-0010-0000-0000-000002000000}" name="TEMÁTICA" dataDxfId="4"/>
    <tableColumn id="3" xr3:uid="{00000000-0010-0000-0000-000003000000}" name="EMISIONES MENSUALES " dataDxfId="3"/>
    <tableColumn id="4" xr3:uid="{00000000-0010-0000-0000-000004000000}" name="DURACIÓN EN HORAS " dataDxfId="2"/>
    <tableColumn id="5" xr3:uid="{00000000-0010-0000-0000-000005000000}" name="TOTAL DE HORAS " dataDxfId="1"/>
    <tableColumn id="6" xr3:uid="{00000000-0010-0000-0000-000006000000}" name="EMISORA EN LA QUE SE TRANSMITE 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topLeftCell="A92" zoomScale="120" zoomScaleNormal="120" workbookViewId="0">
      <selection activeCell="E113" sqref="E113"/>
    </sheetView>
  </sheetViews>
  <sheetFormatPr baseColWidth="10" defaultRowHeight="15" x14ac:dyDescent="0.25"/>
  <cols>
    <col min="1" max="1" width="37.85546875" customWidth="1"/>
    <col min="2" max="2" width="30.42578125" style="1" customWidth="1"/>
    <col min="3" max="3" width="11.140625" bestFit="1" customWidth="1"/>
    <col min="4" max="4" width="18.85546875" bestFit="1" customWidth="1"/>
    <col min="5" max="5" width="15.28515625" bestFit="1" customWidth="1"/>
    <col min="6" max="6" width="33.42578125" customWidth="1"/>
    <col min="7" max="7" width="5" customWidth="1"/>
    <col min="8" max="8" width="25" customWidth="1"/>
    <col min="12" max="15" width="11.42578125" customWidth="1"/>
  </cols>
  <sheetData>
    <row r="1" spans="1:12" ht="37.5" customHeight="1" x14ac:dyDescent="0.25">
      <c r="A1" s="12" t="s">
        <v>174</v>
      </c>
      <c r="B1" s="2" t="s">
        <v>2</v>
      </c>
      <c r="C1" s="2" t="s">
        <v>3</v>
      </c>
      <c r="D1" s="2" t="s">
        <v>4</v>
      </c>
      <c r="E1" s="2" t="s">
        <v>5</v>
      </c>
      <c r="F1" s="3" t="s">
        <v>6</v>
      </c>
    </row>
    <row r="2" spans="1:12" x14ac:dyDescent="0.25">
      <c r="A2" s="7" t="s">
        <v>40</v>
      </c>
      <c r="B2" s="5" t="s">
        <v>78</v>
      </c>
      <c r="C2" s="6">
        <f>8+8+6+8+8+8+5+4+5+4+4+5</f>
        <v>73</v>
      </c>
      <c r="D2" s="6">
        <v>0.5</v>
      </c>
      <c r="E2" s="6" t="s">
        <v>175</v>
      </c>
      <c r="F2" s="8" t="s">
        <v>44</v>
      </c>
      <c r="J2" s="9"/>
      <c r="K2" s="9"/>
      <c r="L2" s="9"/>
    </row>
    <row r="3" spans="1:12" x14ac:dyDescent="0.25">
      <c r="A3" s="20" t="s">
        <v>45</v>
      </c>
      <c r="B3" s="21" t="s">
        <v>78</v>
      </c>
      <c r="C3" s="15">
        <f>4+4+4+4+4+4+4+4+4+5+4+3</f>
        <v>48</v>
      </c>
      <c r="D3" s="15">
        <v>0.5</v>
      </c>
      <c r="E3" s="15" t="s">
        <v>177</v>
      </c>
      <c r="F3" s="19" t="s">
        <v>44</v>
      </c>
      <c r="J3" s="9"/>
      <c r="K3" s="9"/>
      <c r="L3" s="9"/>
    </row>
    <row r="4" spans="1:12" x14ac:dyDescent="0.25">
      <c r="A4" s="20" t="s">
        <v>63</v>
      </c>
      <c r="B4" s="21" t="s">
        <v>46</v>
      </c>
      <c r="C4" s="15">
        <f>1+1</f>
        <v>2</v>
      </c>
      <c r="D4" s="15" t="s">
        <v>88</v>
      </c>
      <c r="E4" s="15">
        <f>4+2</f>
        <v>6</v>
      </c>
      <c r="F4" s="19" t="s">
        <v>47</v>
      </c>
      <c r="J4" s="9"/>
      <c r="K4" s="9"/>
      <c r="L4" s="9"/>
    </row>
    <row r="5" spans="1:12" x14ac:dyDescent="0.25">
      <c r="A5" s="20" t="s">
        <v>64</v>
      </c>
      <c r="B5" s="21" t="s">
        <v>46</v>
      </c>
      <c r="C5" s="15">
        <v>1</v>
      </c>
      <c r="D5" s="15">
        <v>2</v>
      </c>
      <c r="E5" s="15">
        <v>2</v>
      </c>
      <c r="F5" s="19" t="s">
        <v>47</v>
      </c>
      <c r="J5" s="9"/>
      <c r="K5" s="9"/>
      <c r="L5" s="9"/>
    </row>
    <row r="6" spans="1:12" x14ac:dyDescent="0.25">
      <c r="A6" s="13" t="s">
        <v>93</v>
      </c>
      <c r="B6" s="14" t="s">
        <v>46</v>
      </c>
      <c r="C6" s="15">
        <v>4</v>
      </c>
      <c r="D6" s="16">
        <v>2</v>
      </c>
      <c r="E6" s="15">
        <v>8</v>
      </c>
      <c r="F6" s="19" t="s">
        <v>47</v>
      </c>
    </row>
    <row r="7" spans="1:12" x14ac:dyDescent="0.25">
      <c r="A7" s="17" t="s">
        <v>99</v>
      </c>
      <c r="B7" s="18" t="s">
        <v>46</v>
      </c>
      <c r="C7" s="15">
        <v>1</v>
      </c>
      <c r="D7" s="15">
        <v>2</v>
      </c>
      <c r="E7" s="15">
        <v>2</v>
      </c>
      <c r="F7" s="19" t="s">
        <v>47</v>
      </c>
    </row>
    <row r="8" spans="1:12" x14ac:dyDescent="0.25">
      <c r="A8" s="17" t="s">
        <v>100</v>
      </c>
      <c r="B8" s="18" t="s">
        <v>46</v>
      </c>
      <c r="C8" s="15">
        <v>1</v>
      </c>
      <c r="D8" s="15">
        <v>1</v>
      </c>
      <c r="E8" s="15">
        <v>1</v>
      </c>
      <c r="F8" s="19" t="s">
        <v>47</v>
      </c>
      <c r="J8" s="9"/>
      <c r="K8" s="9"/>
      <c r="L8" s="9"/>
    </row>
    <row r="9" spans="1:12" x14ac:dyDescent="0.25">
      <c r="A9" s="17" t="s">
        <v>19</v>
      </c>
      <c r="B9" s="18" t="s">
        <v>8</v>
      </c>
      <c r="C9" s="15">
        <f>21+20+20+20+21+21+23+21+22+23+15+19</f>
        <v>246</v>
      </c>
      <c r="D9" s="15">
        <v>1</v>
      </c>
      <c r="E9" s="15">
        <f>+Tabla2[[#This Row],[EMISIONES MENSUALES ]]*Tabla2[[#This Row],[DURACIÓN EN HORAS ]]</f>
        <v>246</v>
      </c>
      <c r="F9" s="19" t="s">
        <v>10</v>
      </c>
    </row>
    <row r="10" spans="1:12" x14ac:dyDescent="0.25">
      <c r="A10" s="17" t="s">
        <v>41</v>
      </c>
      <c r="B10" s="18" t="s">
        <v>78</v>
      </c>
      <c r="C10" s="15">
        <f>8+8+3+10+4+8+5+4+5+5+4+5</f>
        <v>69</v>
      </c>
      <c r="D10" s="15">
        <v>0.5</v>
      </c>
      <c r="E10" s="15" t="s">
        <v>176</v>
      </c>
      <c r="F10" s="19" t="s">
        <v>44</v>
      </c>
    </row>
    <row r="11" spans="1:12" x14ac:dyDescent="0.25">
      <c r="A11" s="23" t="s">
        <v>142</v>
      </c>
      <c r="B11" s="24" t="s">
        <v>141</v>
      </c>
      <c r="C11" s="6">
        <f>4+4+5+3+2</f>
        <v>18</v>
      </c>
      <c r="D11" s="25">
        <v>1</v>
      </c>
      <c r="E11" s="6">
        <f>+Tabla2[[#This Row],[EMISIONES MENSUALES ]]*Tabla2[[#This Row],[DURACIÓN EN HORAS ]]</f>
        <v>18</v>
      </c>
      <c r="F11" s="22" t="s">
        <v>44</v>
      </c>
    </row>
    <row r="12" spans="1:12" x14ac:dyDescent="0.25">
      <c r="A12" s="17" t="s">
        <v>114</v>
      </c>
      <c r="B12" s="18" t="s">
        <v>82</v>
      </c>
      <c r="C12" s="15">
        <f>42+42+42+23+21+22+23+14+21</f>
        <v>250</v>
      </c>
      <c r="D12" s="15">
        <v>1</v>
      </c>
      <c r="E12" s="15">
        <f>+Tabla2[[#This Row],[EMISIONES MENSUALES ]]*Tabla2[[#This Row],[DURACIÓN EN HORAS ]]</f>
        <v>250</v>
      </c>
      <c r="F12" s="19" t="s">
        <v>11</v>
      </c>
    </row>
    <row r="13" spans="1:12" x14ac:dyDescent="0.25">
      <c r="A13" s="17" t="s">
        <v>66</v>
      </c>
      <c r="B13" s="18" t="s">
        <v>79</v>
      </c>
      <c r="C13" s="15">
        <f>3+4+4+8+4+4+4+5</f>
        <v>36</v>
      </c>
      <c r="D13" s="15">
        <v>0.5</v>
      </c>
      <c r="E13" s="15">
        <v>16</v>
      </c>
      <c r="F13" s="19" t="s">
        <v>44</v>
      </c>
      <c r="J13" s="9"/>
      <c r="K13" s="9"/>
      <c r="L13" s="9"/>
    </row>
    <row r="14" spans="1:12" ht="30" x14ac:dyDescent="0.25">
      <c r="A14" s="17" t="s">
        <v>48</v>
      </c>
      <c r="B14" s="18" t="s">
        <v>49</v>
      </c>
      <c r="C14" s="15">
        <f>3+4+4+4+4+4+4+5+3+5</f>
        <v>40</v>
      </c>
      <c r="D14" s="15">
        <v>1</v>
      </c>
      <c r="E14" s="15">
        <f>+Tabla2[[#This Row],[EMISIONES MENSUALES ]]*Tabla2[[#This Row],[DURACIÓN EN HORAS ]]</f>
        <v>40</v>
      </c>
      <c r="F14" s="19" t="s">
        <v>7</v>
      </c>
      <c r="J14" s="9"/>
      <c r="K14" s="9"/>
      <c r="L14" s="9"/>
    </row>
    <row r="15" spans="1:12" x14ac:dyDescent="0.25">
      <c r="A15" s="17" t="s">
        <v>0</v>
      </c>
      <c r="B15" s="18" t="s">
        <v>33</v>
      </c>
      <c r="C15" s="15">
        <f>260+260+260+260+260+260+260+260+260+260+260+260</f>
        <v>3120</v>
      </c>
      <c r="D15" s="15" t="s">
        <v>24</v>
      </c>
      <c r="E15" s="15" t="s">
        <v>178</v>
      </c>
      <c r="F15" s="19" t="s">
        <v>7</v>
      </c>
      <c r="J15" s="9"/>
      <c r="K15" s="9"/>
      <c r="L15" s="9"/>
    </row>
    <row r="16" spans="1:12" x14ac:dyDescent="0.25">
      <c r="A16" s="17" t="s">
        <v>50</v>
      </c>
      <c r="B16" s="18" t="s">
        <v>25</v>
      </c>
      <c r="C16" s="15">
        <f>620+620+620+620+620+620+620+620+620+620+620+620</f>
        <v>7440</v>
      </c>
      <c r="D16" s="15" t="s">
        <v>26</v>
      </c>
      <c r="E16" s="15" t="s">
        <v>179</v>
      </c>
      <c r="F16" s="19" t="s">
        <v>11</v>
      </c>
      <c r="G16" s="1"/>
      <c r="J16" s="9"/>
      <c r="K16" s="9"/>
      <c r="L16" s="9"/>
    </row>
    <row r="17" spans="1:13" x14ac:dyDescent="0.25">
      <c r="A17" s="17" t="s">
        <v>120</v>
      </c>
      <c r="B17" s="18" t="s">
        <v>112</v>
      </c>
      <c r="C17" s="15">
        <f>300+300+300+300+300</f>
        <v>1500</v>
      </c>
      <c r="D17" s="15" t="s">
        <v>121</v>
      </c>
      <c r="E17" s="15">
        <f>24+24+24+24+24</f>
        <v>120</v>
      </c>
      <c r="F17" s="19" t="s">
        <v>122</v>
      </c>
      <c r="G17" s="1"/>
    </row>
    <row r="18" spans="1:13" x14ac:dyDescent="0.25">
      <c r="A18" s="17" t="s">
        <v>123</v>
      </c>
      <c r="B18" s="18" t="s">
        <v>112</v>
      </c>
      <c r="C18" s="15">
        <f>300+300+300+300+300+300+300</f>
        <v>2100</v>
      </c>
      <c r="D18" s="15" t="s">
        <v>121</v>
      </c>
      <c r="E18" s="15">
        <f>24+24+24+24+24+24+24</f>
        <v>168</v>
      </c>
      <c r="F18" s="19" t="s">
        <v>122</v>
      </c>
      <c r="G18" s="1"/>
      <c r="J18" s="9"/>
      <c r="K18" s="9"/>
      <c r="L18" s="9"/>
    </row>
    <row r="19" spans="1:13" x14ac:dyDescent="0.25">
      <c r="A19" s="17" t="s">
        <v>65</v>
      </c>
      <c r="B19" s="18" t="s">
        <v>78</v>
      </c>
      <c r="C19" s="15">
        <f>672+672+672+672+672+672+672+672+672+672+672</f>
        <v>7392</v>
      </c>
      <c r="D19" s="15" t="s">
        <v>51</v>
      </c>
      <c r="E19" s="15">
        <f>3+3+3+3+3+3+3+3+3+3+3</f>
        <v>33</v>
      </c>
      <c r="F19" s="19" t="s">
        <v>47</v>
      </c>
      <c r="G19" s="1"/>
    </row>
    <row r="20" spans="1:13" x14ac:dyDescent="0.25">
      <c r="A20" s="17" t="s">
        <v>119</v>
      </c>
      <c r="B20" s="18" t="s">
        <v>110</v>
      </c>
      <c r="C20" s="15">
        <v>627</v>
      </c>
      <c r="D20" s="15" t="s">
        <v>51</v>
      </c>
      <c r="E20" s="15">
        <v>3</v>
      </c>
      <c r="F20" s="19" t="s">
        <v>11</v>
      </c>
      <c r="J20" s="9"/>
      <c r="K20" s="9"/>
      <c r="L20" s="9"/>
    </row>
    <row r="21" spans="1:13" x14ac:dyDescent="0.25">
      <c r="A21" s="26" t="s">
        <v>158</v>
      </c>
      <c r="B21" s="18" t="s">
        <v>112</v>
      </c>
      <c r="C21" s="6">
        <f>300+300</f>
        <v>600</v>
      </c>
      <c r="D21" s="15" t="s">
        <v>121</v>
      </c>
      <c r="E21" s="6">
        <f>24+24</f>
        <v>48</v>
      </c>
      <c r="F21" s="19" t="s">
        <v>47</v>
      </c>
      <c r="J21" s="9"/>
      <c r="K21" s="9"/>
      <c r="L21" s="9"/>
    </row>
    <row r="22" spans="1:13" x14ac:dyDescent="0.25">
      <c r="A22" s="17" t="s">
        <v>113</v>
      </c>
      <c r="B22" s="18" t="s">
        <v>112</v>
      </c>
      <c r="C22" s="15">
        <f>627+627+627</f>
        <v>1881</v>
      </c>
      <c r="D22" s="15" t="s">
        <v>51</v>
      </c>
      <c r="E22" s="15">
        <f>3+3+3</f>
        <v>9</v>
      </c>
      <c r="F22" s="19" t="s">
        <v>47</v>
      </c>
    </row>
    <row r="23" spans="1:13" x14ac:dyDescent="0.25">
      <c r="A23" s="17" t="s">
        <v>111</v>
      </c>
      <c r="B23" s="18" t="s">
        <v>110</v>
      </c>
      <c r="C23" s="15">
        <v>627</v>
      </c>
      <c r="D23" s="15" t="s">
        <v>51</v>
      </c>
      <c r="E23" s="15">
        <v>3</v>
      </c>
      <c r="F23" s="19" t="s">
        <v>11</v>
      </c>
      <c r="G23" s="1"/>
      <c r="J23" s="9"/>
      <c r="K23" s="9"/>
      <c r="L23" s="9"/>
    </row>
    <row r="24" spans="1:13" x14ac:dyDescent="0.25">
      <c r="A24" s="17" t="s">
        <v>101</v>
      </c>
      <c r="B24" s="18" t="s">
        <v>87</v>
      </c>
      <c r="C24" s="15">
        <f>672+672</f>
        <v>1344</v>
      </c>
      <c r="D24" s="15" t="s">
        <v>51</v>
      </c>
      <c r="E24" s="15">
        <f>3+3</f>
        <v>6</v>
      </c>
      <c r="F24" s="19" t="s">
        <v>47</v>
      </c>
      <c r="G24" s="1"/>
      <c r="J24" s="9"/>
      <c r="K24" s="9"/>
      <c r="L24" s="9"/>
    </row>
    <row r="25" spans="1:13" x14ac:dyDescent="0.25">
      <c r="A25" s="17" t="s">
        <v>102</v>
      </c>
      <c r="B25" s="18" t="s">
        <v>95</v>
      </c>
      <c r="C25" s="15">
        <v>1220</v>
      </c>
      <c r="D25" s="15" t="s">
        <v>51</v>
      </c>
      <c r="E25" s="15">
        <v>7</v>
      </c>
      <c r="F25" s="19" t="s">
        <v>47</v>
      </c>
      <c r="G25" s="1"/>
      <c r="J25" s="9"/>
      <c r="K25" s="9"/>
      <c r="L25" s="9"/>
    </row>
    <row r="26" spans="1:13" x14ac:dyDescent="0.25">
      <c r="A26" s="17" t="s">
        <v>52</v>
      </c>
      <c r="B26" s="18" t="s">
        <v>27</v>
      </c>
      <c r="C26" s="15">
        <f>4+8+8+6+8+8</f>
        <v>42</v>
      </c>
      <c r="D26" s="15">
        <v>1</v>
      </c>
      <c r="E26" s="15">
        <f>+Tabla2[[#This Row],[EMISIONES MENSUALES ]]*Tabla2[[#This Row],[DURACIÓN EN HORAS ]]</f>
        <v>42</v>
      </c>
      <c r="F26" s="19" t="s">
        <v>10</v>
      </c>
    </row>
    <row r="27" spans="1:13" s="4" customFormat="1" x14ac:dyDescent="0.25">
      <c r="A27" s="17" t="s">
        <v>96</v>
      </c>
      <c r="B27" s="18" t="s">
        <v>103</v>
      </c>
      <c r="C27" s="15">
        <f>17+16+16+18</f>
        <v>67</v>
      </c>
      <c r="D27" s="15">
        <v>1</v>
      </c>
      <c r="E27" s="15">
        <f>+Tabla2[[#This Row],[EMISIONES MENSUALES ]]*Tabla2[[#This Row],[DURACIÓN EN HORAS ]]</f>
        <v>67</v>
      </c>
      <c r="F27" s="19" t="s">
        <v>7</v>
      </c>
      <c r="H27" s="10"/>
      <c r="I27" s="11"/>
      <c r="J27" s="9"/>
      <c r="K27" s="9"/>
      <c r="L27" s="9"/>
      <c r="M27"/>
    </row>
    <row r="28" spans="1:13" x14ac:dyDescent="0.25">
      <c r="A28" s="17" t="s">
        <v>13</v>
      </c>
      <c r="B28" s="18" t="s">
        <v>9</v>
      </c>
      <c r="C28" s="15">
        <f>4+4+4+4+8+8+8+10+8+9+10+5</f>
        <v>82</v>
      </c>
      <c r="D28" s="15">
        <v>1</v>
      </c>
      <c r="E28" s="15">
        <f>+Tabla2[[#This Row],[EMISIONES MENSUALES ]]*Tabla2[[#This Row],[DURACIÓN EN HORAS ]]</f>
        <v>82</v>
      </c>
      <c r="F28" s="19" t="s">
        <v>7</v>
      </c>
      <c r="H28" s="11"/>
      <c r="I28" s="11"/>
      <c r="J28" s="9"/>
      <c r="K28" s="9"/>
      <c r="L28" s="9"/>
    </row>
    <row r="29" spans="1:13" x14ac:dyDescent="0.25">
      <c r="A29" s="17" t="s">
        <v>77</v>
      </c>
      <c r="B29" s="18" t="s">
        <v>34</v>
      </c>
      <c r="C29" s="15">
        <f>8+8+10+8+8+8+8+10+10+8+9+12</f>
        <v>107</v>
      </c>
      <c r="D29" s="15">
        <v>2</v>
      </c>
      <c r="E29" s="15">
        <f>+Tabla2[[#This Row],[EMISIONES MENSUALES ]]*Tabla2[[#This Row],[DURACIÓN EN HORAS ]]</f>
        <v>214</v>
      </c>
      <c r="F29" s="19" t="s">
        <v>47</v>
      </c>
      <c r="I29" s="1"/>
      <c r="J29" s="9"/>
      <c r="K29" s="9"/>
      <c r="L29" s="9"/>
    </row>
    <row r="30" spans="1:13" x14ac:dyDescent="0.25">
      <c r="A30" s="17" t="s">
        <v>109</v>
      </c>
      <c r="B30" s="18" t="s">
        <v>108</v>
      </c>
      <c r="C30" s="15">
        <f>1+1+1+9+4+9+9+11+3</f>
        <v>48</v>
      </c>
      <c r="D30" s="15">
        <v>1</v>
      </c>
      <c r="E30" s="15">
        <f>+Tabla2[[#This Row],[EMISIONES MENSUALES ]]*Tabla2[[#This Row],[DURACIÓN EN HORAS ]]</f>
        <v>48</v>
      </c>
      <c r="F30" s="19" t="s">
        <v>11</v>
      </c>
      <c r="J30" s="9"/>
      <c r="K30" s="9"/>
      <c r="L30" s="9"/>
    </row>
    <row r="31" spans="1:13" x14ac:dyDescent="0.25">
      <c r="A31" s="44" t="s">
        <v>180</v>
      </c>
      <c r="B31" s="45" t="s">
        <v>25</v>
      </c>
      <c r="C31" s="46">
        <v>3</v>
      </c>
      <c r="D31" s="47">
        <v>3</v>
      </c>
      <c r="E31" s="46">
        <v>9</v>
      </c>
      <c r="F31" s="43" t="s">
        <v>37</v>
      </c>
      <c r="J31" s="9"/>
      <c r="K31" s="9"/>
      <c r="L31" s="9"/>
    </row>
    <row r="32" spans="1:13" ht="30" x14ac:dyDescent="0.25">
      <c r="A32" s="27" t="s">
        <v>181</v>
      </c>
      <c r="B32" s="49" t="s">
        <v>25</v>
      </c>
      <c r="C32" s="50">
        <v>2</v>
      </c>
      <c r="D32" s="51">
        <v>0.5</v>
      </c>
      <c r="E32" s="50">
        <v>1</v>
      </c>
      <c r="F32" s="48" t="s">
        <v>37</v>
      </c>
      <c r="J32" s="9"/>
      <c r="K32" s="9"/>
      <c r="L32" s="9"/>
    </row>
    <row r="33" spans="1:12" x14ac:dyDescent="0.25">
      <c r="A33" s="53" t="s">
        <v>182</v>
      </c>
      <c r="B33" s="54" t="s">
        <v>42</v>
      </c>
      <c r="C33" s="55">
        <v>2</v>
      </c>
      <c r="D33" s="56">
        <v>1</v>
      </c>
      <c r="E33" s="55">
        <v>2</v>
      </c>
      <c r="F33" s="52" t="s">
        <v>37</v>
      </c>
      <c r="J33" s="9"/>
      <c r="K33" s="9"/>
      <c r="L33" s="9"/>
    </row>
    <row r="34" spans="1:12" x14ac:dyDescent="0.25">
      <c r="A34" s="58" t="s">
        <v>183</v>
      </c>
      <c r="B34" s="59" t="s">
        <v>42</v>
      </c>
      <c r="C34" s="60">
        <v>1</v>
      </c>
      <c r="D34" s="61">
        <v>3</v>
      </c>
      <c r="E34" s="60">
        <v>3</v>
      </c>
      <c r="F34" s="57" t="s">
        <v>37</v>
      </c>
      <c r="J34" s="9"/>
      <c r="K34" s="9"/>
      <c r="L34" s="9"/>
    </row>
    <row r="35" spans="1:12" x14ac:dyDescent="0.25">
      <c r="A35" s="58" t="s">
        <v>184</v>
      </c>
      <c r="B35" s="59" t="s">
        <v>42</v>
      </c>
      <c r="C35" s="60">
        <v>1</v>
      </c>
      <c r="D35" s="61">
        <v>3</v>
      </c>
      <c r="E35" s="60">
        <v>3</v>
      </c>
      <c r="F35" s="57" t="s">
        <v>37</v>
      </c>
    </row>
    <row r="36" spans="1:12" x14ac:dyDescent="0.25">
      <c r="A36" s="58" t="s">
        <v>185</v>
      </c>
      <c r="B36" s="59" t="s">
        <v>42</v>
      </c>
      <c r="C36" s="60">
        <v>1</v>
      </c>
      <c r="D36" s="61">
        <v>3</v>
      </c>
      <c r="E36" s="60">
        <v>3</v>
      </c>
      <c r="F36" s="57" t="s">
        <v>37</v>
      </c>
      <c r="J36" s="9"/>
      <c r="K36" s="9"/>
      <c r="L36" s="9"/>
    </row>
    <row r="37" spans="1:12" x14ac:dyDescent="0.25">
      <c r="A37" s="63" t="s">
        <v>186</v>
      </c>
      <c r="B37" s="64" t="s">
        <v>42</v>
      </c>
      <c r="C37" s="65">
        <v>1</v>
      </c>
      <c r="D37" s="66">
        <v>6</v>
      </c>
      <c r="E37" s="65">
        <v>6</v>
      </c>
      <c r="F37" s="62" t="s">
        <v>37</v>
      </c>
      <c r="J37" s="9"/>
      <c r="K37" s="9"/>
      <c r="L37" s="9"/>
    </row>
    <row r="38" spans="1:12" x14ac:dyDescent="0.25">
      <c r="A38" s="63" t="s">
        <v>187</v>
      </c>
      <c r="B38" s="64" t="s">
        <v>42</v>
      </c>
      <c r="C38" s="65">
        <v>1</v>
      </c>
      <c r="D38" s="66">
        <v>3</v>
      </c>
      <c r="E38" s="65">
        <v>3</v>
      </c>
      <c r="F38" s="62" t="s">
        <v>37</v>
      </c>
      <c r="J38" s="9"/>
      <c r="K38" s="9"/>
      <c r="L38" s="9"/>
    </row>
    <row r="39" spans="1:12" x14ac:dyDescent="0.25">
      <c r="A39" s="63" t="s">
        <v>188</v>
      </c>
      <c r="B39" s="64" t="s">
        <v>189</v>
      </c>
      <c r="C39" s="65">
        <v>2</v>
      </c>
      <c r="D39" s="66">
        <v>1</v>
      </c>
      <c r="E39" s="65">
        <v>2</v>
      </c>
      <c r="F39" s="62" t="s">
        <v>37</v>
      </c>
      <c r="J39" s="9"/>
      <c r="K39" s="9"/>
      <c r="L39" s="9"/>
    </row>
    <row r="40" spans="1:12" x14ac:dyDescent="0.25">
      <c r="A40" s="63" t="s">
        <v>193</v>
      </c>
      <c r="B40" s="64" t="s">
        <v>42</v>
      </c>
      <c r="C40" s="65">
        <v>1</v>
      </c>
      <c r="D40" s="66">
        <v>3</v>
      </c>
      <c r="E40" s="65">
        <v>3</v>
      </c>
      <c r="F40" s="62" t="s">
        <v>37</v>
      </c>
      <c r="J40" s="9"/>
      <c r="K40" s="9"/>
      <c r="L40" s="9"/>
    </row>
    <row r="41" spans="1:12" x14ac:dyDescent="0.25">
      <c r="A41" s="63" t="s">
        <v>190</v>
      </c>
      <c r="B41" s="64" t="s">
        <v>42</v>
      </c>
      <c r="C41" s="65">
        <v>1</v>
      </c>
      <c r="D41" s="66">
        <v>1</v>
      </c>
      <c r="E41" s="65">
        <v>1</v>
      </c>
      <c r="F41" s="62" t="s">
        <v>37</v>
      </c>
      <c r="J41" s="9"/>
      <c r="K41" s="9"/>
      <c r="L41" s="9"/>
    </row>
    <row r="42" spans="1:12" x14ac:dyDescent="0.25">
      <c r="A42" s="63" t="s">
        <v>191</v>
      </c>
      <c r="B42" s="64" t="s">
        <v>42</v>
      </c>
      <c r="C42" s="65">
        <v>2</v>
      </c>
      <c r="D42" s="66">
        <v>2</v>
      </c>
      <c r="E42" s="65">
        <v>4</v>
      </c>
      <c r="F42" s="62" t="s">
        <v>37</v>
      </c>
      <c r="J42" s="9"/>
      <c r="K42" s="9"/>
      <c r="L42" s="9"/>
    </row>
    <row r="43" spans="1:12" x14ac:dyDescent="0.25">
      <c r="A43" s="63" t="s">
        <v>192</v>
      </c>
      <c r="B43" s="64" t="s">
        <v>42</v>
      </c>
      <c r="C43" s="65">
        <v>1</v>
      </c>
      <c r="D43" s="66">
        <v>3</v>
      </c>
      <c r="E43" s="65">
        <v>3</v>
      </c>
      <c r="F43" s="62" t="s">
        <v>37</v>
      </c>
      <c r="H43" s="1"/>
      <c r="I43" s="1"/>
      <c r="J43" s="9"/>
      <c r="K43" s="9"/>
      <c r="L43" s="9"/>
    </row>
    <row r="44" spans="1:12" x14ac:dyDescent="0.25">
      <c r="A44" s="29" t="s">
        <v>85</v>
      </c>
      <c r="B44" s="32" t="s">
        <v>9</v>
      </c>
      <c r="C44" s="35">
        <f>6+12+18+18+18+23+21+22+23+10+10</f>
        <v>181</v>
      </c>
      <c r="D44" s="35">
        <v>1</v>
      </c>
      <c r="E44" s="38">
        <f>+Tabla2[[#This Row],[EMISIONES MENSUALES ]]*Tabla2[[#This Row],[DURACIÓN EN HORAS ]]</f>
        <v>181</v>
      </c>
      <c r="F44" s="41" t="s">
        <v>86</v>
      </c>
      <c r="H44" s="1"/>
      <c r="I44" s="1"/>
      <c r="J44" s="9"/>
      <c r="K44" s="9"/>
      <c r="L44" s="9"/>
    </row>
    <row r="45" spans="1:12" x14ac:dyDescent="0.25">
      <c r="A45" s="29" t="s">
        <v>14</v>
      </c>
      <c r="B45" s="32" t="s">
        <v>28</v>
      </c>
      <c r="C45" s="35">
        <v>4</v>
      </c>
      <c r="D45" s="35">
        <v>0.5</v>
      </c>
      <c r="E45" s="38">
        <v>4</v>
      </c>
      <c r="F45" s="41" t="s">
        <v>11</v>
      </c>
      <c r="H45" s="1"/>
      <c r="I45" s="1"/>
      <c r="J45" s="9"/>
      <c r="K45" s="9"/>
      <c r="L45" s="9"/>
    </row>
    <row r="46" spans="1:12" x14ac:dyDescent="0.25">
      <c r="A46" s="29" t="s">
        <v>94</v>
      </c>
      <c r="B46" s="32" t="s">
        <v>124</v>
      </c>
      <c r="C46" s="35">
        <f>4+4+4+4+4+4+4</f>
        <v>28</v>
      </c>
      <c r="D46" s="35">
        <v>1</v>
      </c>
      <c r="E46" s="38">
        <f>+Tabla2[[#This Row],[EMISIONES MENSUALES ]]*Tabla2[[#This Row],[DURACIÓN EN HORAS ]]</f>
        <v>28</v>
      </c>
      <c r="F46" s="41" t="s">
        <v>10</v>
      </c>
    </row>
    <row r="47" spans="1:12" x14ac:dyDescent="0.25">
      <c r="A47" s="28" t="s">
        <v>143</v>
      </c>
      <c r="B47" s="31" t="s">
        <v>42</v>
      </c>
      <c r="C47" s="34">
        <v>4</v>
      </c>
      <c r="D47" s="34">
        <v>1</v>
      </c>
      <c r="E47" s="37">
        <v>4</v>
      </c>
      <c r="F47" s="40" t="s">
        <v>7</v>
      </c>
    </row>
    <row r="48" spans="1:12" x14ac:dyDescent="0.25">
      <c r="A48" s="28" t="s">
        <v>144</v>
      </c>
      <c r="B48" s="31" t="s">
        <v>145</v>
      </c>
      <c r="C48" s="34">
        <f>4+4+3+4</f>
        <v>15</v>
      </c>
      <c r="D48" s="34">
        <v>1</v>
      </c>
      <c r="E48" s="37">
        <f>+Tabla2[[#This Row],[EMISIONES MENSUALES ]]*Tabla2[[#This Row],[DURACIÓN EN HORAS ]]</f>
        <v>15</v>
      </c>
      <c r="F48" s="40" t="s">
        <v>44</v>
      </c>
      <c r="H48" s="1"/>
      <c r="I48" s="1"/>
      <c r="J48" s="9"/>
      <c r="K48" s="9"/>
      <c r="L48" s="9"/>
    </row>
    <row r="49" spans="1:12" x14ac:dyDescent="0.25">
      <c r="A49" s="29" t="s">
        <v>53</v>
      </c>
      <c r="B49" s="32" t="s">
        <v>78</v>
      </c>
      <c r="C49" s="35">
        <f>4+4+4+3+5+5+2+4+5+3+2</f>
        <v>41</v>
      </c>
      <c r="D49" s="35" t="s">
        <v>159</v>
      </c>
      <c r="E49" s="38" t="s">
        <v>194</v>
      </c>
      <c r="F49" s="41" t="s">
        <v>44</v>
      </c>
    </row>
    <row r="50" spans="1:12" x14ac:dyDescent="0.25">
      <c r="A50" s="28" t="s">
        <v>152</v>
      </c>
      <c r="B50" s="31" t="s">
        <v>81</v>
      </c>
      <c r="C50" s="34">
        <f>2+8</f>
        <v>10</v>
      </c>
      <c r="D50" s="34">
        <v>0.5</v>
      </c>
      <c r="E50" s="37">
        <f>+Tabla2[[#This Row],[EMISIONES MENSUALES ]]*Tabla2[[#This Row],[DURACIÓN EN HORAS ]]</f>
        <v>5</v>
      </c>
      <c r="F50" s="40" t="s">
        <v>153</v>
      </c>
      <c r="H50" s="1"/>
      <c r="I50" s="1"/>
      <c r="J50" s="9"/>
      <c r="K50" s="9"/>
      <c r="L50" s="9"/>
    </row>
    <row r="51" spans="1:12" x14ac:dyDescent="0.25">
      <c r="A51" s="29" t="s">
        <v>20</v>
      </c>
      <c r="B51" s="32" t="s">
        <v>34</v>
      </c>
      <c r="C51" s="35">
        <f>21+22+21+21+21+21+23+21+22+23+19+21</f>
        <v>256</v>
      </c>
      <c r="D51" s="35" t="s">
        <v>160</v>
      </c>
      <c r="E51" s="38">
        <f>579+69+76+84</f>
        <v>808</v>
      </c>
      <c r="F51" s="41" t="s">
        <v>7</v>
      </c>
      <c r="J51" s="9"/>
      <c r="K51" s="9"/>
      <c r="L51" s="9"/>
    </row>
    <row r="52" spans="1:12" x14ac:dyDescent="0.25">
      <c r="A52" s="29" t="s">
        <v>21</v>
      </c>
      <c r="B52" s="32" t="s">
        <v>25</v>
      </c>
      <c r="C52" s="35">
        <f>21+20</f>
        <v>41</v>
      </c>
      <c r="D52" s="35">
        <v>1</v>
      </c>
      <c r="E52" s="38">
        <f>+Tabla2[[#This Row],[EMISIONES MENSUALES ]]*Tabla2[[#This Row],[DURACIÓN EN HORAS ]]</f>
        <v>41</v>
      </c>
      <c r="F52" s="41" t="s">
        <v>11</v>
      </c>
    </row>
    <row r="53" spans="1:12" x14ac:dyDescent="0.25">
      <c r="A53" s="29" t="s">
        <v>38</v>
      </c>
      <c r="B53" s="32" t="s">
        <v>80</v>
      </c>
      <c r="C53" s="35">
        <f>4+3</f>
        <v>7</v>
      </c>
      <c r="D53" s="35">
        <v>1</v>
      </c>
      <c r="E53" s="38">
        <f>+Tabla2[[#This Row],[EMISIONES MENSUALES ]]*Tabla2[[#This Row],[DURACIÓN EN HORAS ]]</f>
        <v>7</v>
      </c>
      <c r="F53" s="41" t="s">
        <v>11</v>
      </c>
    </row>
    <row r="54" spans="1:12" x14ac:dyDescent="0.25">
      <c r="A54" s="28" t="s">
        <v>135</v>
      </c>
      <c r="B54" s="31" t="s">
        <v>136</v>
      </c>
      <c r="C54" s="34">
        <f>4+5+10+8+10+3</f>
        <v>40</v>
      </c>
      <c r="D54" s="34">
        <v>1</v>
      </c>
      <c r="E54" s="37">
        <f>+Tabla2[[#This Row],[EMISIONES MENSUALES ]]*Tabla2[[#This Row],[DURACIÓN EN HORAS ]]</f>
        <v>40</v>
      </c>
      <c r="F54" s="41" t="s">
        <v>11</v>
      </c>
    </row>
    <row r="55" spans="1:12" ht="30" x14ac:dyDescent="0.25">
      <c r="A55" s="29" t="s">
        <v>22</v>
      </c>
      <c r="B55" s="32" t="s">
        <v>29</v>
      </c>
      <c r="C55" s="35">
        <f>4+4+5+3+5+5+4+5+4+4+5+3</f>
        <v>51</v>
      </c>
      <c r="D55" s="35">
        <v>1</v>
      </c>
      <c r="E55" s="38">
        <f>+Tabla2[[#This Row],[EMISIONES MENSUALES ]]*Tabla2[[#This Row],[DURACIÓN EN HORAS ]]</f>
        <v>51</v>
      </c>
      <c r="F55" s="41" t="s">
        <v>11</v>
      </c>
    </row>
    <row r="56" spans="1:12" ht="30" x14ac:dyDescent="0.25">
      <c r="A56" s="29" t="s">
        <v>54</v>
      </c>
      <c r="B56" s="32" t="s">
        <v>29</v>
      </c>
      <c r="C56" s="35">
        <f>4+4+5+3+5+5+4+5+4+4+5+3</f>
        <v>51</v>
      </c>
      <c r="D56" s="35">
        <v>0.5</v>
      </c>
      <c r="E56" s="38" t="s">
        <v>177</v>
      </c>
      <c r="F56" s="41" t="s">
        <v>7</v>
      </c>
    </row>
    <row r="57" spans="1:12" x14ac:dyDescent="0.25">
      <c r="A57" s="29" t="s">
        <v>76</v>
      </c>
      <c r="B57" s="32" t="s">
        <v>30</v>
      </c>
      <c r="C57" s="35">
        <f>10+10+10+10+10+10+10+10+10+10+10+5</f>
        <v>115</v>
      </c>
      <c r="D57" s="35">
        <v>0.5</v>
      </c>
      <c r="E57" s="38" t="s">
        <v>196</v>
      </c>
      <c r="F57" s="41" t="s">
        <v>12</v>
      </c>
    </row>
    <row r="58" spans="1:12" x14ac:dyDescent="0.25">
      <c r="A58" s="29" t="s">
        <v>15</v>
      </c>
      <c r="B58" s="32" t="s">
        <v>25</v>
      </c>
      <c r="C58" s="35">
        <f>21+20+21+21+21+21+23+21+22+23+16+21</f>
        <v>251</v>
      </c>
      <c r="D58" s="35">
        <v>1</v>
      </c>
      <c r="E58" s="38">
        <f>+Tabla2[[#This Row],[EMISIONES MENSUALES ]]*Tabla2[[#This Row],[DURACIÓN EN HORAS ]]</f>
        <v>251</v>
      </c>
      <c r="F58" s="41" t="s">
        <v>12</v>
      </c>
    </row>
    <row r="59" spans="1:12" x14ac:dyDescent="0.25">
      <c r="A59" s="29" t="s">
        <v>31</v>
      </c>
      <c r="B59" s="32" t="s">
        <v>25</v>
      </c>
      <c r="C59" s="35">
        <f>21+20+21+21+21+21+23+21+22+23+16+21</f>
        <v>251</v>
      </c>
      <c r="D59" s="35">
        <v>1</v>
      </c>
      <c r="E59" s="38">
        <f>+Tabla2[[#This Row],[EMISIONES MENSUALES ]]*Tabla2[[#This Row],[DURACIÓN EN HORAS ]]</f>
        <v>251</v>
      </c>
      <c r="F59" s="41" t="s">
        <v>12</v>
      </c>
    </row>
    <row r="60" spans="1:12" x14ac:dyDescent="0.25">
      <c r="A60" s="29" t="s">
        <v>16</v>
      </c>
      <c r="B60" s="32" t="s">
        <v>25</v>
      </c>
      <c r="C60" s="35">
        <f>21+20+21+21+21+21+23+21+22+23+16+21</f>
        <v>251</v>
      </c>
      <c r="D60" s="35">
        <v>2</v>
      </c>
      <c r="E60" s="38">
        <f>+Tabla2[[#This Row],[EMISIONES MENSUALES ]]*Tabla2[[#This Row],[DURACIÓN EN HORAS ]]</f>
        <v>502</v>
      </c>
      <c r="F60" s="41" t="s">
        <v>12</v>
      </c>
    </row>
    <row r="61" spans="1:12" x14ac:dyDescent="0.25">
      <c r="A61" s="29" t="s">
        <v>75</v>
      </c>
      <c r="B61" s="32" t="s">
        <v>25</v>
      </c>
      <c r="C61" s="35">
        <f>21+20+21+21+21+21+23+21+22+23+16+21</f>
        <v>251</v>
      </c>
      <c r="D61" s="35">
        <v>2</v>
      </c>
      <c r="E61" s="38">
        <f>+Tabla2[[#This Row],[EMISIONES MENSUALES ]]*Tabla2[[#This Row],[DURACIÓN EN HORAS ]]</f>
        <v>502</v>
      </c>
      <c r="F61" s="41" t="s">
        <v>7</v>
      </c>
    </row>
    <row r="62" spans="1:12" x14ac:dyDescent="0.25">
      <c r="A62" s="29" t="s">
        <v>55</v>
      </c>
      <c r="B62" s="32" t="s">
        <v>25</v>
      </c>
      <c r="C62" s="35">
        <f>21+20+21+21+21+21+23+21+22+23+16+21</f>
        <v>251</v>
      </c>
      <c r="D62" s="35">
        <v>1</v>
      </c>
      <c r="E62" s="38">
        <f>+Tabla2[[#This Row],[EMISIONES MENSUALES ]]*Tabla2[[#This Row],[DURACIÓN EN HORAS ]]</f>
        <v>251</v>
      </c>
      <c r="F62" s="41" t="s">
        <v>7</v>
      </c>
    </row>
    <row r="63" spans="1:12" x14ac:dyDescent="0.25">
      <c r="A63" s="28" t="s">
        <v>147</v>
      </c>
      <c r="B63" s="31" t="s">
        <v>146</v>
      </c>
      <c r="C63" s="34">
        <f>1+2+2</f>
        <v>5</v>
      </c>
      <c r="D63" s="34">
        <v>0.5</v>
      </c>
      <c r="E63" s="37" t="s">
        <v>161</v>
      </c>
      <c r="F63" s="40" t="s">
        <v>44</v>
      </c>
    </row>
    <row r="64" spans="1:12" x14ac:dyDescent="0.25">
      <c r="A64" s="29" t="s">
        <v>104</v>
      </c>
      <c r="B64" s="32" t="s">
        <v>105</v>
      </c>
      <c r="C64" s="35">
        <f>32+42+42+42+23+21+22+20+13+14</f>
        <v>271</v>
      </c>
      <c r="D64" s="35">
        <v>1</v>
      </c>
      <c r="E64" s="38">
        <f>+Tabla2[[#This Row],[EMISIONES MENSUALES ]]*Tabla2[[#This Row],[DURACIÓN EN HORAS ]]</f>
        <v>271</v>
      </c>
      <c r="F64" s="41" t="s">
        <v>11</v>
      </c>
    </row>
    <row r="65" spans="1:6" x14ac:dyDescent="0.25">
      <c r="A65" s="29" t="s">
        <v>39</v>
      </c>
      <c r="B65" s="32" t="s">
        <v>36</v>
      </c>
      <c r="C65" s="35">
        <f>8+8+4+6+5+5+4+5+4+4+5+3</f>
        <v>61</v>
      </c>
      <c r="D65" s="35">
        <v>0.5</v>
      </c>
      <c r="E65" s="38" t="s">
        <v>195</v>
      </c>
      <c r="F65" s="41" t="s">
        <v>11</v>
      </c>
    </row>
    <row r="66" spans="1:6" x14ac:dyDescent="0.25">
      <c r="A66" s="29" t="s">
        <v>1</v>
      </c>
      <c r="B66" s="32" t="s">
        <v>9</v>
      </c>
      <c r="C66" s="35">
        <f>21+20+21+21+21+21+23+21+22+22+16+21</f>
        <v>250</v>
      </c>
      <c r="D66" s="35">
        <v>1</v>
      </c>
      <c r="E66" s="38">
        <f>+Tabla2[[#This Row],[EMISIONES MENSUALES ]]*Tabla2[[#This Row],[DURACIÓN EN HORAS ]]</f>
        <v>250</v>
      </c>
      <c r="F66" s="41" t="s">
        <v>7</v>
      </c>
    </row>
    <row r="67" spans="1:6" x14ac:dyDescent="0.25">
      <c r="A67" s="29" t="s">
        <v>74</v>
      </c>
      <c r="B67" s="32" t="s">
        <v>81</v>
      </c>
      <c r="C67" s="35">
        <f>3+2+8+2+6+6+5+1+2+2+4+4</f>
        <v>45</v>
      </c>
      <c r="D67" s="35">
        <v>1</v>
      </c>
      <c r="E67" s="38">
        <f>+Tabla2[[#This Row],[EMISIONES MENSUALES ]]*Tabla2[[#This Row],[DURACIÓN EN HORAS ]]</f>
        <v>45</v>
      </c>
      <c r="F67" s="41" t="s">
        <v>47</v>
      </c>
    </row>
    <row r="68" spans="1:6" x14ac:dyDescent="0.25">
      <c r="A68" s="29" t="s">
        <v>17</v>
      </c>
      <c r="B68" s="32" t="s">
        <v>9</v>
      </c>
      <c r="C68" s="35">
        <f>21+20+21+21+21+21+23+21+22+23+16+21</f>
        <v>251</v>
      </c>
      <c r="D68" s="35">
        <v>2</v>
      </c>
      <c r="E68" s="38">
        <f>+Tabla2[[#This Row],[EMISIONES MENSUALES ]]*Tabla2[[#This Row],[DURACIÓN EN HORAS ]]</f>
        <v>502</v>
      </c>
      <c r="F68" s="41" t="s">
        <v>7</v>
      </c>
    </row>
    <row r="69" spans="1:6" x14ac:dyDescent="0.25">
      <c r="A69" s="29" t="s">
        <v>133</v>
      </c>
      <c r="B69" s="32" t="s">
        <v>132</v>
      </c>
      <c r="C69" s="35">
        <f>4+4+4+4+4+4+2+4</f>
        <v>30</v>
      </c>
      <c r="D69" s="35">
        <v>0.5</v>
      </c>
      <c r="E69" s="38">
        <f>+Tabla2[[#This Row],[EMISIONES MENSUALES ]]*Tabla2[[#This Row],[DURACIÓN EN HORAS ]]</f>
        <v>15</v>
      </c>
      <c r="F69" s="41" t="s">
        <v>11</v>
      </c>
    </row>
    <row r="70" spans="1:6" x14ac:dyDescent="0.25">
      <c r="A70" s="29" t="s">
        <v>92</v>
      </c>
      <c r="B70" s="32" t="s">
        <v>42</v>
      </c>
      <c r="C70" s="35">
        <f>4+4+4+5+5+4+5+4+4+5</f>
        <v>44</v>
      </c>
      <c r="D70" s="35" t="s">
        <v>154</v>
      </c>
      <c r="E70" s="38" t="s">
        <v>168</v>
      </c>
      <c r="F70" s="41" t="s">
        <v>7</v>
      </c>
    </row>
    <row r="71" spans="1:6" x14ac:dyDescent="0.25">
      <c r="A71" s="29" t="s">
        <v>56</v>
      </c>
      <c r="B71" s="32" t="s">
        <v>43</v>
      </c>
      <c r="C71" s="35">
        <f>4+3+4+4+5+5+4+5+5+5+5</f>
        <v>49</v>
      </c>
      <c r="D71" s="35">
        <v>0.5</v>
      </c>
      <c r="E71" s="38" t="s">
        <v>169</v>
      </c>
      <c r="F71" s="41" t="s">
        <v>11</v>
      </c>
    </row>
    <row r="72" spans="1:6" x14ac:dyDescent="0.25">
      <c r="A72" s="29" t="s">
        <v>57</v>
      </c>
      <c r="B72" s="32" t="s">
        <v>82</v>
      </c>
      <c r="C72" s="35">
        <f>2+2+4+4+5+5+4+5+5+4+4+4</f>
        <v>48</v>
      </c>
      <c r="D72" s="35">
        <v>1</v>
      </c>
      <c r="E72" s="38">
        <f>+Tabla2[[#This Row],[EMISIONES MENSUALES ]]*Tabla2[[#This Row],[DURACIÓN EN HORAS ]]</f>
        <v>48</v>
      </c>
      <c r="F72" s="41" t="s">
        <v>7</v>
      </c>
    </row>
    <row r="73" spans="1:6" x14ac:dyDescent="0.25">
      <c r="A73" s="29" t="s">
        <v>58</v>
      </c>
      <c r="B73" s="32" t="s">
        <v>42</v>
      </c>
      <c r="C73" s="35">
        <f>21+20+20+21+21+21+23+21+21+23+16+21</f>
        <v>249</v>
      </c>
      <c r="D73" s="35">
        <v>3</v>
      </c>
      <c r="E73" s="38">
        <f>+Tabla2[[#This Row],[EMISIONES MENSUALES ]]*Tabla2[[#This Row],[DURACIÓN EN HORAS ]]</f>
        <v>747</v>
      </c>
      <c r="F73" s="41" t="s">
        <v>7</v>
      </c>
    </row>
    <row r="74" spans="1:6" x14ac:dyDescent="0.25">
      <c r="A74" s="29" t="s">
        <v>134</v>
      </c>
      <c r="B74" s="32" t="s">
        <v>35</v>
      </c>
      <c r="C74" s="35">
        <f>4+4+4+4+5+5+4+5+4+5+3+3</f>
        <v>50</v>
      </c>
      <c r="D74" s="35">
        <v>0.5</v>
      </c>
      <c r="E74" s="38">
        <v>25</v>
      </c>
      <c r="F74" s="41" t="s">
        <v>11</v>
      </c>
    </row>
    <row r="75" spans="1:6" x14ac:dyDescent="0.25">
      <c r="A75" s="29" t="s">
        <v>18</v>
      </c>
      <c r="B75" s="32" t="s">
        <v>25</v>
      </c>
      <c r="C75" s="35">
        <f>21+20+20+21+21+21+23+21+22+23+16+21</f>
        <v>250</v>
      </c>
      <c r="D75" s="35">
        <v>2</v>
      </c>
      <c r="E75" s="38">
        <f>+Tabla2[[#This Row],[EMISIONES MENSUALES ]]*Tabla2[[#This Row],[DURACIÓN EN HORAS ]]</f>
        <v>500</v>
      </c>
      <c r="F75" s="41" t="s">
        <v>7</v>
      </c>
    </row>
    <row r="76" spans="1:6" x14ac:dyDescent="0.25">
      <c r="A76" s="29" t="s">
        <v>115</v>
      </c>
      <c r="B76" s="32" t="s">
        <v>116</v>
      </c>
      <c r="C76" s="35">
        <f>3+2+2+9+8+9+4+3</f>
        <v>40</v>
      </c>
      <c r="D76" s="35">
        <v>1</v>
      </c>
      <c r="E76" s="38">
        <f>+Tabla2[[#This Row],[EMISIONES MENSUALES ]]*Tabla2[[#This Row],[DURACIÓN EN HORAS ]]</f>
        <v>40</v>
      </c>
      <c r="F76" s="41" t="s">
        <v>59</v>
      </c>
    </row>
    <row r="77" spans="1:6" x14ac:dyDescent="0.25">
      <c r="A77" s="28" t="s">
        <v>197</v>
      </c>
      <c r="B77" s="31"/>
      <c r="C77" s="34"/>
      <c r="D77" s="34"/>
      <c r="E77" s="37"/>
      <c r="F77" s="40"/>
    </row>
    <row r="78" spans="1:6" x14ac:dyDescent="0.25">
      <c r="A78" s="29" t="s">
        <v>97</v>
      </c>
      <c r="B78" s="32" t="s">
        <v>87</v>
      </c>
      <c r="C78" s="35">
        <v>1</v>
      </c>
      <c r="D78" s="35">
        <v>2</v>
      </c>
      <c r="E78" s="38">
        <v>2</v>
      </c>
      <c r="F78" s="41" t="s">
        <v>47</v>
      </c>
    </row>
    <row r="79" spans="1:6" ht="30" x14ac:dyDescent="0.25">
      <c r="A79" s="29" t="s">
        <v>70</v>
      </c>
      <c r="B79" s="32" t="s">
        <v>8</v>
      </c>
      <c r="C79" s="35">
        <v>4</v>
      </c>
      <c r="D79" s="35">
        <v>2</v>
      </c>
      <c r="E79" s="38">
        <v>8</v>
      </c>
      <c r="F79" s="41" t="s">
        <v>47</v>
      </c>
    </row>
    <row r="80" spans="1:6" x14ac:dyDescent="0.25">
      <c r="A80" s="28" t="s">
        <v>148</v>
      </c>
      <c r="B80" s="31" t="s">
        <v>25</v>
      </c>
      <c r="C80" s="34">
        <v>1</v>
      </c>
      <c r="D80" s="34">
        <v>1</v>
      </c>
      <c r="E80" s="37">
        <v>1</v>
      </c>
      <c r="F80" s="40" t="s">
        <v>44</v>
      </c>
    </row>
    <row r="81" spans="1:6" x14ac:dyDescent="0.25">
      <c r="A81" s="29" t="s">
        <v>125</v>
      </c>
      <c r="B81" s="32" t="s">
        <v>8</v>
      </c>
      <c r="C81" s="35">
        <f>1+1+1</f>
        <v>3</v>
      </c>
      <c r="D81" s="35">
        <v>2</v>
      </c>
      <c r="E81" s="38">
        <f>+Tabla2[[#This Row],[EMISIONES MENSUALES ]]*Tabla2[[#This Row],[DURACIÓN EN HORAS ]]</f>
        <v>6</v>
      </c>
      <c r="F81" s="41" t="s">
        <v>37</v>
      </c>
    </row>
    <row r="82" spans="1:6" x14ac:dyDescent="0.25">
      <c r="A82" s="28" t="s">
        <v>162</v>
      </c>
      <c r="B82" s="31" t="s">
        <v>112</v>
      </c>
      <c r="C82" s="34">
        <v>1</v>
      </c>
      <c r="D82" s="34">
        <v>2</v>
      </c>
      <c r="E82" s="37">
        <v>2</v>
      </c>
      <c r="F82" s="40" t="s">
        <v>7</v>
      </c>
    </row>
    <row r="83" spans="1:6" x14ac:dyDescent="0.25">
      <c r="A83" s="29" t="s">
        <v>129</v>
      </c>
      <c r="B83" s="32" t="s">
        <v>118</v>
      </c>
      <c r="C83" s="35">
        <f>1+1</f>
        <v>2</v>
      </c>
      <c r="D83" s="35">
        <v>4</v>
      </c>
      <c r="E83" s="38">
        <f>4+4</f>
        <v>8</v>
      </c>
      <c r="F83" s="41" t="s">
        <v>37</v>
      </c>
    </row>
    <row r="84" spans="1:6" ht="30" x14ac:dyDescent="0.25">
      <c r="A84" s="28" t="s">
        <v>163</v>
      </c>
      <c r="B84" s="31" t="s">
        <v>145</v>
      </c>
      <c r="C84" s="34">
        <v>3</v>
      </c>
      <c r="D84" s="34">
        <v>4</v>
      </c>
      <c r="E84" s="37">
        <v>12</v>
      </c>
      <c r="F84" s="40" t="s">
        <v>7</v>
      </c>
    </row>
    <row r="85" spans="1:6" x14ac:dyDescent="0.25">
      <c r="A85" s="29" t="s">
        <v>166</v>
      </c>
      <c r="B85" s="32" t="s">
        <v>8</v>
      </c>
      <c r="C85" s="35">
        <f>1+1+1</f>
        <v>3</v>
      </c>
      <c r="D85" s="35">
        <v>2</v>
      </c>
      <c r="E85" s="38">
        <f>+Tabla2[[#This Row],[EMISIONES MENSUALES ]]*Tabla2[[#This Row],[DURACIÓN EN HORAS ]]</f>
        <v>6</v>
      </c>
      <c r="F85" s="41" t="s">
        <v>37</v>
      </c>
    </row>
    <row r="86" spans="1:6" ht="30" x14ac:dyDescent="0.25">
      <c r="A86" s="28" t="s">
        <v>167</v>
      </c>
      <c r="B86" s="31" t="s">
        <v>145</v>
      </c>
      <c r="C86" s="34">
        <v>3</v>
      </c>
      <c r="D86" s="34">
        <v>4</v>
      </c>
      <c r="E86" s="37">
        <v>12</v>
      </c>
      <c r="F86" s="41" t="s">
        <v>37</v>
      </c>
    </row>
    <row r="87" spans="1:6" x14ac:dyDescent="0.25">
      <c r="A87" s="29" t="s">
        <v>89</v>
      </c>
      <c r="B87" s="32" t="s">
        <v>90</v>
      </c>
      <c r="C87" s="35">
        <v>4</v>
      </c>
      <c r="D87" s="35">
        <v>2</v>
      </c>
      <c r="E87" s="38">
        <f>+Tabla2[[#This Row],[EMISIONES MENSUALES ]]*Tabla2[[#This Row],[DURACIÓN EN HORAS ]]</f>
        <v>8</v>
      </c>
      <c r="F87" s="41" t="s">
        <v>37</v>
      </c>
    </row>
    <row r="88" spans="1:6" x14ac:dyDescent="0.25">
      <c r="A88" s="28" t="s">
        <v>164</v>
      </c>
      <c r="B88" s="31" t="s">
        <v>145</v>
      </c>
      <c r="C88" s="34">
        <v>3</v>
      </c>
      <c r="D88" s="34">
        <v>4</v>
      </c>
      <c r="E88" s="37">
        <v>12</v>
      </c>
      <c r="F88" s="40" t="s">
        <v>47</v>
      </c>
    </row>
    <row r="89" spans="1:6" x14ac:dyDescent="0.25">
      <c r="A89" s="28" t="s">
        <v>165</v>
      </c>
      <c r="B89" s="31" t="s">
        <v>149</v>
      </c>
      <c r="C89" s="34">
        <v>1</v>
      </c>
      <c r="D89" s="34">
        <v>1</v>
      </c>
      <c r="E89" s="37">
        <v>1</v>
      </c>
      <c r="F89" s="40" t="s">
        <v>44</v>
      </c>
    </row>
    <row r="90" spans="1:6" x14ac:dyDescent="0.25">
      <c r="A90" s="28" t="s">
        <v>150</v>
      </c>
      <c r="B90" s="31" t="s">
        <v>151</v>
      </c>
      <c r="C90" s="34">
        <v>7</v>
      </c>
      <c r="D90" s="34">
        <v>2</v>
      </c>
      <c r="E90" s="37">
        <v>14</v>
      </c>
      <c r="F90" s="40" t="s">
        <v>47</v>
      </c>
    </row>
    <row r="91" spans="1:6" x14ac:dyDescent="0.25">
      <c r="A91" s="28" t="s">
        <v>139</v>
      </c>
      <c r="B91" s="31" t="s">
        <v>140</v>
      </c>
      <c r="C91" s="34">
        <f>1+3</f>
        <v>4</v>
      </c>
      <c r="D91" s="34">
        <v>2</v>
      </c>
      <c r="E91" s="37">
        <f>2+6</f>
        <v>8</v>
      </c>
      <c r="F91" s="41" t="s">
        <v>37</v>
      </c>
    </row>
    <row r="92" spans="1:6" x14ac:dyDescent="0.25">
      <c r="A92" s="28" t="s">
        <v>170</v>
      </c>
      <c r="B92" s="31" t="s">
        <v>171</v>
      </c>
      <c r="C92" s="34">
        <v>9</v>
      </c>
      <c r="D92" s="34">
        <v>8</v>
      </c>
      <c r="E92" s="37">
        <v>72</v>
      </c>
      <c r="F92" s="40" t="s">
        <v>7</v>
      </c>
    </row>
    <row r="93" spans="1:6" x14ac:dyDescent="0.25">
      <c r="A93" s="28" t="s">
        <v>137</v>
      </c>
      <c r="B93" s="31" t="s">
        <v>138</v>
      </c>
      <c r="C93" s="34">
        <v>2</v>
      </c>
      <c r="D93" s="34">
        <v>3</v>
      </c>
      <c r="E93" s="37">
        <v>6</v>
      </c>
      <c r="F93" s="41" t="s">
        <v>37</v>
      </c>
    </row>
    <row r="94" spans="1:6" x14ac:dyDescent="0.25">
      <c r="A94" s="29" t="s">
        <v>131</v>
      </c>
      <c r="B94" s="32" t="s">
        <v>130</v>
      </c>
      <c r="C94" s="35">
        <f>1+1</f>
        <v>2</v>
      </c>
      <c r="D94" s="35">
        <v>2</v>
      </c>
      <c r="E94" s="38">
        <f>2+2</f>
        <v>4</v>
      </c>
      <c r="F94" s="41" t="s">
        <v>37</v>
      </c>
    </row>
    <row r="95" spans="1:6" x14ac:dyDescent="0.25">
      <c r="A95" s="29" t="s">
        <v>117</v>
      </c>
      <c r="B95" s="32" t="s">
        <v>118</v>
      </c>
      <c r="C95" s="35">
        <v>1</v>
      </c>
      <c r="D95" s="35">
        <v>4</v>
      </c>
      <c r="E95" s="38">
        <v>4</v>
      </c>
      <c r="F95" s="41" t="s">
        <v>37</v>
      </c>
    </row>
    <row r="96" spans="1:6" x14ac:dyDescent="0.25">
      <c r="A96" s="29" t="s">
        <v>106</v>
      </c>
      <c r="B96" s="32" t="s">
        <v>87</v>
      </c>
      <c r="C96" s="35">
        <v>1</v>
      </c>
      <c r="D96" s="35">
        <v>1</v>
      </c>
      <c r="E96" s="38">
        <v>1</v>
      </c>
      <c r="F96" s="41" t="s">
        <v>47</v>
      </c>
    </row>
    <row r="97" spans="1:6" x14ac:dyDescent="0.25">
      <c r="A97" s="29" t="s">
        <v>73</v>
      </c>
      <c r="B97" s="32" t="s">
        <v>43</v>
      </c>
      <c r="C97" s="35">
        <v>1</v>
      </c>
      <c r="D97" s="35">
        <v>2</v>
      </c>
      <c r="E97" s="38">
        <v>2</v>
      </c>
      <c r="F97" s="41" t="s">
        <v>37</v>
      </c>
    </row>
    <row r="98" spans="1:6" ht="30" x14ac:dyDescent="0.25">
      <c r="A98" s="29" t="s">
        <v>72</v>
      </c>
      <c r="B98" s="32" t="s">
        <v>43</v>
      </c>
      <c r="C98" s="35">
        <v>1</v>
      </c>
      <c r="D98" s="35">
        <v>4</v>
      </c>
      <c r="E98" s="38">
        <v>4</v>
      </c>
      <c r="F98" s="41" t="s">
        <v>59</v>
      </c>
    </row>
    <row r="99" spans="1:6" x14ac:dyDescent="0.25">
      <c r="A99" s="29" t="s">
        <v>69</v>
      </c>
      <c r="B99" s="32" t="s">
        <v>8</v>
      </c>
      <c r="C99" s="35">
        <f>18+18+5+9+5+5</f>
        <v>60</v>
      </c>
      <c r="D99" s="35">
        <v>3</v>
      </c>
      <c r="E99" s="38">
        <f>+Tabla2[[#This Row],[EMISIONES MENSUALES ]]*Tabla2[[#This Row],[DURACIÓN EN HORAS ]]</f>
        <v>180</v>
      </c>
      <c r="F99" s="41" t="s">
        <v>47</v>
      </c>
    </row>
    <row r="100" spans="1:6" ht="30" x14ac:dyDescent="0.25">
      <c r="A100" s="29" t="s">
        <v>71</v>
      </c>
      <c r="B100" s="32" t="s">
        <v>32</v>
      </c>
      <c r="C100" s="35">
        <f>17+20+20+20+9+9+9+16+16+18</f>
        <v>154</v>
      </c>
      <c r="D100" s="35" t="s">
        <v>91</v>
      </c>
      <c r="E100" s="38">
        <f>34+60+60+9+9+9+32+32+36</f>
        <v>281</v>
      </c>
      <c r="F100" s="41" t="s">
        <v>44</v>
      </c>
    </row>
    <row r="101" spans="1:6" x14ac:dyDescent="0.25">
      <c r="A101" s="29" t="s">
        <v>68</v>
      </c>
      <c r="B101" s="32" t="s">
        <v>43</v>
      </c>
      <c r="C101" s="35">
        <f>6+6+3+3+1+1+3+3</f>
        <v>26</v>
      </c>
      <c r="D101" s="35">
        <v>1</v>
      </c>
      <c r="E101" s="38">
        <f>+Tabla2[[#This Row],[EMISIONES MENSUALES ]]*Tabla2[[#This Row],[DURACIÓN EN HORAS ]]</f>
        <v>26</v>
      </c>
      <c r="F101" s="41" t="s">
        <v>47</v>
      </c>
    </row>
    <row r="102" spans="1:6" x14ac:dyDescent="0.25">
      <c r="A102" s="28" t="s">
        <v>155</v>
      </c>
      <c r="B102" s="31" t="s">
        <v>156</v>
      </c>
      <c r="C102" s="34">
        <v>1</v>
      </c>
      <c r="D102" s="34">
        <v>4</v>
      </c>
      <c r="E102" s="37">
        <v>4</v>
      </c>
      <c r="F102" s="40" t="s">
        <v>7</v>
      </c>
    </row>
    <row r="103" spans="1:6" x14ac:dyDescent="0.25">
      <c r="A103" s="28" t="s">
        <v>157</v>
      </c>
      <c r="B103" s="31" t="s">
        <v>156</v>
      </c>
      <c r="C103" s="34">
        <v>20</v>
      </c>
      <c r="D103" s="34">
        <v>1</v>
      </c>
      <c r="E103" s="37">
        <v>20</v>
      </c>
      <c r="F103" s="40" t="s">
        <v>47</v>
      </c>
    </row>
    <row r="104" spans="1:6" x14ac:dyDescent="0.25">
      <c r="A104" s="29" t="s">
        <v>107</v>
      </c>
      <c r="B104" s="32" t="s">
        <v>83</v>
      </c>
      <c r="C104" s="35">
        <v>1</v>
      </c>
      <c r="D104" s="35">
        <v>9</v>
      </c>
      <c r="E104" s="38">
        <v>9</v>
      </c>
      <c r="F104" s="41" t="s">
        <v>47</v>
      </c>
    </row>
    <row r="105" spans="1:6" x14ac:dyDescent="0.25">
      <c r="A105" s="29" t="s">
        <v>60</v>
      </c>
      <c r="B105" s="32" t="s">
        <v>8</v>
      </c>
      <c r="C105" s="35">
        <f>1+3+2+3+4+4+2+4+8+8+5</f>
        <v>44</v>
      </c>
      <c r="D105" s="35">
        <v>2</v>
      </c>
      <c r="E105" s="38">
        <f>+Tabla2[[#This Row],[EMISIONES MENSUALES ]]*Tabla2[[#This Row],[DURACIÓN EN HORAS ]]</f>
        <v>88</v>
      </c>
      <c r="F105" s="41" t="s">
        <v>47</v>
      </c>
    </row>
    <row r="106" spans="1:6" x14ac:dyDescent="0.25">
      <c r="A106" s="28" t="s">
        <v>173</v>
      </c>
      <c r="B106" s="31" t="s">
        <v>8</v>
      </c>
      <c r="C106" s="34">
        <v>1</v>
      </c>
      <c r="D106" s="34">
        <v>9</v>
      </c>
      <c r="E106" s="37">
        <v>9</v>
      </c>
      <c r="F106" s="40" t="s">
        <v>47</v>
      </c>
    </row>
    <row r="107" spans="1:6" x14ac:dyDescent="0.25">
      <c r="A107" s="28" t="s">
        <v>172</v>
      </c>
      <c r="B107" s="31" t="s">
        <v>43</v>
      </c>
      <c r="C107" s="34">
        <v>1</v>
      </c>
      <c r="D107" s="34">
        <v>1</v>
      </c>
      <c r="E107" s="37">
        <v>1</v>
      </c>
      <c r="F107" s="40" t="s">
        <v>7</v>
      </c>
    </row>
    <row r="108" spans="1:6" x14ac:dyDescent="0.25">
      <c r="A108" s="29" t="s">
        <v>98</v>
      </c>
      <c r="B108" s="32" t="s">
        <v>128</v>
      </c>
      <c r="C108" s="35">
        <v>5</v>
      </c>
      <c r="D108" s="35">
        <v>10</v>
      </c>
      <c r="E108" s="38">
        <v>50</v>
      </c>
      <c r="F108" s="41" t="s">
        <v>47</v>
      </c>
    </row>
    <row r="109" spans="1:6" x14ac:dyDescent="0.25">
      <c r="A109" s="29" t="s">
        <v>126</v>
      </c>
      <c r="B109" s="32" t="s">
        <v>127</v>
      </c>
      <c r="C109" s="35">
        <f>1+1+1+1+2+2+2</f>
        <v>10</v>
      </c>
      <c r="D109" s="35">
        <v>0.5</v>
      </c>
      <c r="E109" s="38">
        <f>+Tabla2[[#This Row],[EMISIONES MENSUALES ]]*Tabla2[[#This Row],[DURACIÓN EN HORAS ]]</f>
        <v>5</v>
      </c>
      <c r="F109" s="41" t="s">
        <v>11</v>
      </c>
    </row>
    <row r="110" spans="1:6" x14ac:dyDescent="0.25">
      <c r="A110" s="29" t="s">
        <v>61</v>
      </c>
      <c r="B110" s="32" t="s">
        <v>62</v>
      </c>
      <c r="C110" s="35">
        <f>4+4+4</f>
        <v>12</v>
      </c>
      <c r="D110" s="35">
        <v>2</v>
      </c>
      <c r="E110" s="38">
        <f>+Tabla2[[#This Row],[EMISIONES MENSUALES ]]*Tabla2[[#This Row],[DURACIÓN EN HORAS ]]</f>
        <v>24</v>
      </c>
      <c r="F110" s="41" t="s">
        <v>44</v>
      </c>
    </row>
    <row r="111" spans="1:6" x14ac:dyDescent="0.25">
      <c r="A111" s="30" t="s">
        <v>23</v>
      </c>
      <c r="B111" s="33" t="s">
        <v>84</v>
      </c>
      <c r="C111" s="36">
        <f>8+8+8+8+5+5+2+3+2+4+2</f>
        <v>55</v>
      </c>
      <c r="D111" s="36">
        <v>2</v>
      </c>
      <c r="E111" s="39">
        <f>+Tabla2[[#This Row],[EMISIONES MENSUALES ]]*Tabla2[[#This Row],[DURACIÓN EN HORAS ]]</f>
        <v>110</v>
      </c>
      <c r="F111" s="42" t="s">
        <v>37</v>
      </c>
    </row>
    <row r="112" spans="1:6" x14ac:dyDescent="0.25">
      <c r="A112" s="17" t="s">
        <v>67</v>
      </c>
      <c r="B112" s="18" t="s">
        <v>62</v>
      </c>
      <c r="C112" s="15">
        <f>4+1</f>
        <v>5</v>
      </c>
      <c r="D112" s="15">
        <v>1</v>
      </c>
      <c r="E112" s="15">
        <v>5</v>
      </c>
      <c r="F112" s="19" t="s">
        <v>44</v>
      </c>
    </row>
  </sheetData>
  <phoneticPr fontId="3" type="noConversion"/>
  <pageMargins left="0.7" right="0.7" top="0.75" bottom="0.75" header="0.3" footer="0.3"/>
  <pageSetup paperSize="5" orientation="landscape" horizontalDpi="4294967294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bb1e84ee1fa9dfc86f56bc7ba2c64d9d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886247a05de94b486507708fed47ac93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457BE5-6DA4-416A-B539-E6072FA24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98BF5C-F5A8-4D69-9C02-BAAEDF471A7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90b1f48-cb6b-4933-8f37-0fdd774e5b4d"/>
    <ds:schemaRef ds:uri="http://www.w3.org/XML/1998/namespace"/>
    <ds:schemaRef ds:uri="http://schemas.openxmlformats.org/package/2006/metadata/core-properties"/>
    <ds:schemaRef ds:uri="2cabfd59-fc36-4ef0-a4bf-21b9054f28e5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5D42D5-C4C8-4166-A852-DCEBD838C9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Leoni Herrera</cp:lastModifiedBy>
  <cp:lastPrinted>2025-11-12T14:51:37Z</cp:lastPrinted>
  <dcterms:created xsi:type="dcterms:W3CDTF">2021-08-31T17:23:47Z</dcterms:created>
  <dcterms:modified xsi:type="dcterms:W3CDTF">2026-01-05T19:57:48Z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