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50\Transparencia\Nodo 2020\Septiembre (al 31 de agosto de 2020)\"/>
    </mc:Choice>
  </mc:AlternateContent>
  <xr:revisionPtr revIDLastSave="0" documentId="13_ncr:1_{C6CD992D-2A5D-4D1F-A365-8346F5D86456}" xr6:coauthVersionLast="45" xr6:coauthVersionMax="45" xr10:uidLastSave="{00000000-0000-0000-0000-000000000000}"/>
  <bookViews>
    <workbookView xWindow="-120" yWindow="-120" windowWidth="20730" windowHeight="11160" xr2:uid="{0ADAB9A1-5590-4A83-AA2B-54269A1B8AF8}"/>
  </bookViews>
  <sheets>
    <sheet name="Resumen" sheetId="1" r:id="rId1"/>
    <sheet name="Funcionamiento" sheetId="2" r:id="rId2"/>
    <sheet name="Inversio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6" i="3" l="1"/>
  <c r="G36" i="3"/>
  <c r="D36" i="3"/>
  <c r="K36" i="3" s="1"/>
  <c r="J35" i="3"/>
  <c r="G35" i="3"/>
  <c r="D35" i="3"/>
  <c r="K35" i="3" s="1"/>
  <c r="I34" i="3"/>
  <c r="H34" i="3"/>
  <c r="F34" i="3"/>
  <c r="E34" i="3"/>
  <c r="J34" i="3" s="1"/>
  <c r="B34" i="3"/>
  <c r="J33" i="3"/>
  <c r="G33" i="3"/>
  <c r="D33" i="3"/>
  <c r="K33" i="3" s="1"/>
  <c r="K32" i="3" s="1"/>
  <c r="C33" i="3"/>
  <c r="I32" i="3"/>
  <c r="H32" i="3"/>
  <c r="F32" i="3"/>
  <c r="G32" i="3" s="1"/>
  <c r="E32" i="3"/>
  <c r="C32" i="3"/>
  <c r="B32" i="3"/>
  <c r="J31" i="3"/>
  <c r="G31" i="3"/>
  <c r="C31" i="3"/>
  <c r="C27" i="3" s="1"/>
  <c r="J30" i="3"/>
  <c r="G30" i="3"/>
  <c r="D30" i="3"/>
  <c r="K30" i="3" s="1"/>
  <c r="J29" i="3"/>
  <c r="G29" i="3"/>
  <c r="D29" i="3"/>
  <c r="K29" i="3" s="1"/>
  <c r="J28" i="3"/>
  <c r="G28" i="3"/>
  <c r="D28" i="3"/>
  <c r="K28" i="3" s="1"/>
  <c r="I27" i="3"/>
  <c r="H27" i="3"/>
  <c r="F27" i="3"/>
  <c r="G27" i="3" s="1"/>
  <c r="E27" i="3"/>
  <c r="B27" i="3"/>
  <c r="J26" i="3"/>
  <c r="G26" i="3"/>
  <c r="B26" i="3"/>
  <c r="D26" i="3" s="1"/>
  <c r="K26" i="3" s="1"/>
  <c r="J25" i="3"/>
  <c r="G25" i="3"/>
  <c r="D25" i="3"/>
  <c r="K25" i="3" s="1"/>
  <c r="J24" i="3"/>
  <c r="G24" i="3"/>
  <c r="D24" i="3"/>
  <c r="K24" i="3" s="1"/>
  <c r="C24" i="3"/>
  <c r="C23" i="3" s="1"/>
  <c r="I23" i="3"/>
  <c r="H23" i="3"/>
  <c r="F23" i="3"/>
  <c r="E23" i="3"/>
  <c r="K22" i="3"/>
  <c r="J22" i="3"/>
  <c r="G22" i="3"/>
  <c r="D22" i="3"/>
  <c r="J21" i="3"/>
  <c r="G21" i="3"/>
  <c r="C21" i="3"/>
  <c r="D21" i="3" s="1"/>
  <c r="K21" i="3" s="1"/>
  <c r="J20" i="3"/>
  <c r="G20" i="3"/>
  <c r="D20" i="3"/>
  <c r="K20" i="3" s="1"/>
  <c r="C20" i="3"/>
  <c r="C19" i="3" s="1"/>
  <c r="B20" i="3"/>
  <c r="I19" i="3"/>
  <c r="H19" i="3"/>
  <c r="F19" i="3"/>
  <c r="G19" i="3" s="1"/>
  <c r="E19" i="3"/>
  <c r="B19" i="3"/>
  <c r="J18" i="3"/>
  <c r="G18" i="3"/>
  <c r="D18" i="3"/>
  <c r="K18" i="3" s="1"/>
  <c r="K17" i="3" s="1"/>
  <c r="I17" i="3"/>
  <c r="H17" i="3"/>
  <c r="F17" i="3"/>
  <c r="E17" i="3"/>
  <c r="G17" i="3" s="1"/>
  <c r="D17" i="3"/>
  <c r="B17" i="3"/>
  <c r="J16" i="3"/>
  <c r="G16" i="3"/>
  <c r="D16" i="3"/>
  <c r="K16" i="3" s="1"/>
  <c r="J15" i="3"/>
  <c r="G15" i="3"/>
  <c r="D15" i="3"/>
  <c r="K15" i="3" s="1"/>
  <c r="I14" i="3"/>
  <c r="I4" i="3" s="1"/>
  <c r="H14" i="3"/>
  <c r="F14" i="3"/>
  <c r="E14" i="3"/>
  <c r="D14" i="3"/>
  <c r="C14" i="3"/>
  <c r="B14" i="3"/>
  <c r="K13" i="3"/>
  <c r="J13" i="3"/>
  <c r="G13" i="3"/>
  <c r="D13" i="3"/>
  <c r="K12" i="3"/>
  <c r="J12" i="3"/>
  <c r="G12" i="3"/>
  <c r="D12" i="3"/>
  <c r="K11" i="3"/>
  <c r="J11" i="3"/>
  <c r="G11" i="3"/>
  <c r="D11" i="3"/>
  <c r="K10" i="3"/>
  <c r="J10" i="3"/>
  <c r="G10" i="3"/>
  <c r="D10" i="3"/>
  <c r="K9" i="3"/>
  <c r="J9" i="3"/>
  <c r="G9" i="3"/>
  <c r="D9" i="3"/>
  <c r="J8" i="3"/>
  <c r="G8" i="3"/>
  <c r="C8" i="3"/>
  <c r="C6" i="3" s="1"/>
  <c r="J7" i="3"/>
  <c r="G7" i="3"/>
  <c r="D7" i="3"/>
  <c r="K7" i="3" s="1"/>
  <c r="I6" i="3"/>
  <c r="H6" i="3"/>
  <c r="F6" i="3"/>
  <c r="G6" i="3" s="1"/>
  <c r="E6" i="3"/>
  <c r="B6" i="3"/>
  <c r="J31" i="2"/>
  <c r="G31" i="2"/>
  <c r="D31" i="2"/>
  <c r="K31" i="2" s="1"/>
  <c r="K30" i="2"/>
  <c r="J30" i="2"/>
  <c r="J29" i="2" s="1"/>
  <c r="G30" i="2"/>
  <c r="I29" i="2"/>
  <c r="H29" i="2"/>
  <c r="G29" i="2"/>
  <c r="F29" i="2"/>
  <c r="E29" i="2"/>
  <c r="C29" i="2"/>
  <c r="B29" i="2"/>
  <c r="J28" i="2"/>
  <c r="G28" i="2"/>
  <c r="D28" i="2"/>
  <c r="K28" i="2" s="1"/>
  <c r="J27" i="2"/>
  <c r="G27" i="2"/>
  <c r="D27" i="2"/>
  <c r="K27" i="2" s="1"/>
  <c r="J26" i="2"/>
  <c r="G26" i="2"/>
  <c r="D26" i="2"/>
  <c r="K26" i="2" s="1"/>
  <c r="J25" i="2"/>
  <c r="G25" i="2"/>
  <c r="D25" i="2"/>
  <c r="K25" i="2" s="1"/>
  <c r="J24" i="2"/>
  <c r="G24" i="2"/>
  <c r="D24" i="2"/>
  <c r="K24" i="2" s="1"/>
  <c r="J23" i="2"/>
  <c r="G23" i="2"/>
  <c r="D23" i="2"/>
  <c r="K23" i="2" s="1"/>
  <c r="J22" i="2"/>
  <c r="G22" i="2"/>
  <c r="D22" i="2"/>
  <c r="K22" i="2" s="1"/>
  <c r="J21" i="2"/>
  <c r="G21" i="2"/>
  <c r="D21" i="2"/>
  <c r="K21" i="2" s="1"/>
  <c r="I20" i="2"/>
  <c r="H20" i="2"/>
  <c r="F20" i="2"/>
  <c r="E20" i="2"/>
  <c r="J20" i="2" s="1"/>
  <c r="C20" i="2"/>
  <c r="B20" i="2"/>
  <c r="K19" i="2"/>
  <c r="J19" i="2"/>
  <c r="G19" i="2"/>
  <c r="D19" i="2"/>
  <c r="K18" i="2"/>
  <c r="J18" i="2"/>
  <c r="G18" i="2"/>
  <c r="D18" i="2"/>
  <c r="K17" i="2"/>
  <c r="J17" i="2"/>
  <c r="G17" i="2"/>
  <c r="D17" i="2"/>
  <c r="K16" i="2"/>
  <c r="J16" i="2"/>
  <c r="G16" i="2"/>
  <c r="D16" i="2"/>
  <c r="K15" i="2"/>
  <c r="J15" i="2"/>
  <c r="D15" i="2"/>
  <c r="J14" i="2"/>
  <c r="G14" i="2"/>
  <c r="D14" i="2"/>
  <c r="K14" i="2" s="1"/>
  <c r="J13" i="2"/>
  <c r="G13" i="2"/>
  <c r="D13" i="2"/>
  <c r="K13" i="2" s="1"/>
  <c r="I12" i="2"/>
  <c r="I5" i="2" s="1"/>
  <c r="H12" i="2"/>
  <c r="F12" i="2"/>
  <c r="E12" i="2"/>
  <c r="D12" i="2"/>
  <c r="K12" i="2" s="1"/>
  <c r="B12" i="2"/>
  <c r="J11" i="2"/>
  <c r="G11" i="2"/>
  <c r="D11" i="2"/>
  <c r="K11" i="2" s="1"/>
  <c r="J10" i="2"/>
  <c r="G10" i="2"/>
  <c r="D10" i="2"/>
  <c r="K10" i="2" s="1"/>
  <c r="J9" i="2"/>
  <c r="G9" i="2"/>
  <c r="D9" i="2"/>
  <c r="K9" i="2" s="1"/>
  <c r="J8" i="2"/>
  <c r="G8" i="2"/>
  <c r="D8" i="2"/>
  <c r="K8" i="2" s="1"/>
  <c r="I7" i="2"/>
  <c r="H7" i="2"/>
  <c r="H5" i="2" s="1"/>
  <c r="G7" i="2"/>
  <c r="F7" i="2"/>
  <c r="J7" i="2" s="1"/>
  <c r="E7" i="2"/>
  <c r="C7" i="2"/>
  <c r="C5" i="2" s="1"/>
  <c r="B7" i="2"/>
  <c r="D7" i="2" s="1"/>
  <c r="K7" i="2" s="1"/>
  <c r="J14" i="1"/>
  <c r="G14" i="1"/>
  <c r="C14" i="1"/>
  <c r="B14" i="1"/>
  <c r="D14" i="1" s="1"/>
  <c r="K14" i="1" s="1"/>
  <c r="J12" i="1"/>
  <c r="G12" i="1"/>
  <c r="C12" i="1"/>
  <c r="C10" i="1" s="1"/>
  <c r="I10" i="1"/>
  <c r="H10" i="1"/>
  <c r="F10" i="1"/>
  <c r="G10" i="1" s="1"/>
  <c r="E10" i="1"/>
  <c r="G20" i="2" l="1"/>
  <c r="F4" i="3"/>
  <c r="J6" i="3"/>
  <c r="E4" i="3"/>
  <c r="J4" i="3" s="1"/>
  <c r="D31" i="3"/>
  <c r="K31" i="3" s="1"/>
  <c r="G34" i="3"/>
  <c r="J12" i="2"/>
  <c r="D20" i="2"/>
  <c r="K20" i="2" s="1"/>
  <c r="K29" i="2"/>
  <c r="H4" i="3"/>
  <c r="J17" i="3"/>
  <c r="J10" i="1"/>
  <c r="E5" i="2"/>
  <c r="C4" i="3"/>
  <c r="G23" i="3"/>
  <c r="J27" i="3"/>
  <c r="D34" i="3"/>
  <c r="K19" i="3"/>
  <c r="K23" i="3"/>
  <c r="K34" i="3"/>
  <c r="K27" i="3"/>
  <c r="K14" i="3"/>
  <c r="J19" i="3"/>
  <c r="J32" i="3"/>
  <c r="D8" i="3"/>
  <c r="J14" i="3"/>
  <c r="B23" i="3"/>
  <c r="B4" i="3" s="1"/>
  <c r="J23" i="3"/>
  <c r="G14" i="3"/>
  <c r="D19" i="3"/>
  <c r="D32" i="3"/>
  <c r="D23" i="3"/>
  <c r="D27" i="3"/>
  <c r="B5" i="2"/>
  <c r="D5" i="2" s="1"/>
  <c r="F5" i="2"/>
  <c r="G12" i="2"/>
  <c r="D29" i="2"/>
  <c r="D12" i="1"/>
  <c r="K12" i="1" s="1"/>
  <c r="K10" i="1" s="1"/>
  <c r="B10" i="1"/>
  <c r="D10" i="1" s="1"/>
  <c r="G4" i="3" l="1"/>
  <c r="D6" i="3"/>
  <c r="D4" i="3" s="1"/>
  <c r="K4" i="3" s="1"/>
  <c r="K8" i="3"/>
  <c r="K6" i="3" s="1"/>
  <c r="G5" i="2"/>
  <c r="K5" i="2" s="1"/>
  <c r="J5" i="2"/>
</calcChain>
</file>

<file path=xl/sharedStrings.xml><?xml version="1.0" encoding="utf-8"?>
<sst xmlns="http://schemas.openxmlformats.org/spreadsheetml/2006/main" count="101" uniqueCount="88">
  <si>
    <t xml:space="preserve">  </t>
  </si>
  <si>
    <t>Tipo de Presupuesto</t>
  </si>
  <si>
    <t>Presupuesto Modificado                    1</t>
  </si>
  <si>
    <t>Contención del presupuesto          2</t>
  </si>
  <si>
    <t>Nuevo Presupuesto Modificado     3 = (1-2)</t>
  </si>
  <si>
    <t>Presupuesto Asignado a la Fecha                        4</t>
  </si>
  <si>
    <t>Presupuesto Ejecutado a la Fecha                   5</t>
  </si>
  <si>
    <t>% de Ejecución              6 = (5/4 * 100)</t>
  </si>
  <si>
    <t>Devengado                   7</t>
  </si>
  <si>
    <t>Pagado                        8</t>
  </si>
  <si>
    <t>Saldo a La Fecha                   9 = (4-5)</t>
  </si>
  <si>
    <t>Saldo anual          10 = (3-5)</t>
  </si>
  <si>
    <t>Funcionamiento</t>
  </si>
  <si>
    <t>Inversiones</t>
  </si>
  <si>
    <t>Objeto de Gasto</t>
  </si>
  <si>
    <t>Presupuesto Ley  Modificado               1</t>
  </si>
  <si>
    <t>Asignado a la Fecha                 4</t>
  </si>
  <si>
    <t>Ejecutado a la Fecha                 5</t>
  </si>
  <si>
    <t>% de Ejecución           6 = (5/4 * 100)</t>
  </si>
  <si>
    <t>Devengado         7</t>
  </si>
  <si>
    <t>Saldo a la fecha               9 = 4-5</t>
  </si>
  <si>
    <t>Saldo Anual             10 = 3-5</t>
  </si>
  <si>
    <t>TOTAL</t>
  </si>
  <si>
    <t>Servicios Personales</t>
  </si>
  <si>
    <t xml:space="preserve">   Sueldos</t>
  </si>
  <si>
    <t xml:space="preserve">   Gastos de representación</t>
  </si>
  <si>
    <t xml:space="preserve"> </t>
  </si>
  <si>
    <t xml:space="preserve">   XIII mes</t>
  </si>
  <si>
    <t xml:space="preserve">   Contribuciones a la seguridad social</t>
  </si>
  <si>
    <t>Servicios No Personales</t>
  </si>
  <si>
    <t xml:space="preserve">   Alquileres</t>
  </si>
  <si>
    <t xml:space="preserve">   Servicios básicos</t>
  </si>
  <si>
    <t xml:space="preserve">   Información y publicidad</t>
  </si>
  <si>
    <t xml:space="preserve">   Viáticos</t>
  </si>
  <si>
    <t xml:space="preserve">   Transporte de personas y bienes</t>
  </si>
  <si>
    <t xml:space="preserve">   Servicios comerciales y financieros</t>
  </si>
  <si>
    <t xml:space="preserve">   Mantenimiento y reparación</t>
  </si>
  <si>
    <t>Materiales y Suministros</t>
  </si>
  <si>
    <t xml:space="preserve">   Alimentos y bebidas</t>
  </si>
  <si>
    <t xml:space="preserve">   Combustibles y lubricantes</t>
  </si>
  <si>
    <t xml:space="preserve">   Productos de papel y cartón</t>
  </si>
  <si>
    <t xml:space="preserve">   Productos quimicos y Conexos</t>
  </si>
  <si>
    <t xml:space="preserve">   Materiales para Const. Y Mantenim.</t>
  </si>
  <si>
    <t xml:space="preserve">   Productos varios</t>
  </si>
  <si>
    <t xml:space="preserve">   Útiles y materiales diversos</t>
  </si>
  <si>
    <t xml:space="preserve">   Repuestos</t>
  </si>
  <si>
    <t>Transferencias Corrientes</t>
  </si>
  <si>
    <t xml:space="preserve">    Bonificación por Antigüedad</t>
  </si>
  <si>
    <t xml:space="preserve">    Capacitación y Estudios</t>
  </si>
  <si>
    <t>Programas y Proyectos de Inversión</t>
  </si>
  <si>
    <t>Presupuesto Ley Modificado                    1</t>
  </si>
  <si>
    <t>Nuevo Presupuesto Modificado    3=(1-2)</t>
  </si>
  <si>
    <t>% de Ejecución          6 =(5/4*100)</t>
  </si>
  <si>
    <t>Devengado                7</t>
  </si>
  <si>
    <t>Saldo a  la Fecha                9 = 4-5</t>
  </si>
  <si>
    <t>Saldo Anual              10 = 3-5</t>
  </si>
  <si>
    <t>Investigación Científica</t>
  </si>
  <si>
    <t>INDICASAT</t>
  </si>
  <si>
    <t>Apoyo y Promo. de Actividades de Inv.</t>
  </si>
  <si>
    <t>Const. Estación Científica en el Parque</t>
  </si>
  <si>
    <t>Ampliación investigación científica</t>
  </si>
  <si>
    <t>Insercion de Talento Especializado</t>
  </si>
  <si>
    <t>Plataforma de Acceso a Bibliografico Cient.</t>
  </si>
  <si>
    <t>Sistema Nacional de Investigación</t>
  </si>
  <si>
    <t>Obras, Remodelaciones y Equipa.</t>
  </si>
  <si>
    <t>Obras, remodelaciones y Equipo</t>
  </si>
  <si>
    <t>Ampliación y adecuación de Infraest.</t>
  </si>
  <si>
    <t>Metrología y Normas</t>
  </si>
  <si>
    <t>Innovación y Competitividad</t>
  </si>
  <si>
    <t>Innovación Empresarial</t>
  </si>
  <si>
    <t>Fortalecimiento del Sistema Nacional de Ciencia</t>
  </si>
  <si>
    <t>Desarrollo del Plan Estratégico de C y T</t>
  </si>
  <si>
    <t>Estímulos e Investigaciones</t>
  </si>
  <si>
    <t>En el aprendizaje de las ciencias</t>
  </si>
  <si>
    <t>Desarrollo Centro Intl. De Estudios Políticos y Soc</t>
  </si>
  <si>
    <t>Mejoram. del uso innovador de la tec. en la educación</t>
  </si>
  <si>
    <t>Desarrollo Tecnológico</t>
  </si>
  <si>
    <t>Programa de Infoplazas</t>
  </si>
  <si>
    <t>Nac. Indicadores de Ciencia y Tec</t>
  </si>
  <si>
    <t>Clusters de competitividad</t>
  </si>
  <si>
    <t>Mejoramiento Automatización Senacyt</t>
  </si>
  <si>
    <t>Capacitación</t>
  </si>
  <si>
    <t xml:space="preserve">Fortalecimiento de los Recursos Humanos </t>
  </si>
  <si>
    <t>Inclusión Social y Productividad</t>
  </si>
  <si>
    <t>3692/OC-PN Innov para la Inclusion Soc.y Product</t>
  </si>
  <si>
    <t>Ejecución del Presupuesto de Inversiones según programa al 31 de agosto del 2020 (en balboas)</t>
  </si>
  <si>
    <t>Ejecución del Presupuesto de Funcionamiento al  31 de agosto del  2020 (en balboas)</t>
  </si>
  <si>
    <t>Ejecución Presupuestaria de SENACYT al 31 de Agosto del 2020 (en balboas)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</si>
</sst>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5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4" xfId="0" applyFont="1" applyBorder="1"/>
    <xf numFmtId="0" fontId="3" fillId="0" borderId="5" xfId="0" applyFont="1" applyBorder="1" applyAlignment="1">
      <alignment vertical="center" wrapText="1"/>
    </xf>
    <xf numFmtId="0" fontId="3" fillId="0" borderId="6" xfId="0" applyFont="1" applyBorder="1"/>
    <xf numFmtId="0" fontId="3" fillId="0" borderId="5" xfId="0" applyFont="1" applyBorder="1"/>
    <xf numFmtId="0" fontId="0" fillId="0" borderId="7" xfId="0" applyBorder="1"/>
    <xf numFmtId="0" fontId="4" fillId="0" borderId="8" xfId="0" applyFont="1" applyBorder="1" applyAlignment="1">
      <alignment horizontal="center"/>
    </xf>
    <xf numFmtId="3" fontId="4" fillId="0" borderId="9" xfId="0" applyNumberFormat="1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3" fontId="4" fillId="0" borderId="11" xfId="0" applyNumberFormat="1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0" borderId="0" xfId="0" applyFont="1"/>
    <xf numFmtId="0" fontId="0" fillId="0" borderId="11" xfId="0" applyBorder="1"/>
    <xf numFmtId="3" fontId="3" fillId="0" borderId="9" xfId="0" applyNumberFormat="1" applyFont="1" applyBorder="1"/>
    <xf numFmtId="3" fontId="3" fillId="0" borderId="10" xfId="0" applyNumberFormat="1" applyFont="1" applyBorder="1"/>
    <xf numFmtId="3" fontId="3" fillId="0" borderId="9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right"/>
    </xf>
    <xf numFmtId="3" fontId="3" fillId="0" borderId="11" xfId="0" applyNumberFormat="1" applyFont="1" applyBorder="1"/>
    <xf numFmtId="3" fontId="3" fillId="0" borderId="0" xfId="0" applyNumberFormat="1" applyFont="1"/>
    <xf numFmtId="3" fontId="0" fillId="0" borderId="11" xfId="0" applyNumberFormat="1" applyBorder="1"/>
    <xf numFmtId="3" fontId="0" fillId="0" borderId="0" xfId="0" applyNumberFormat="1"/>
    <xf numFmtId="0" fontId="3" fillId="0" borderId="12" xfId="0" applyFont="1" applyBorder="1"/>
    <xf numFmtId="4" fontId="3" fillId="0" borderId="13" xfId="0" applyNumberFormat="1" applyFont="1" applyBorder="1"/>
    <xf numFmtId="4" fontId="3" fillId="0" borderId="14" xfId="0" applyNumberFormat="1" applyFont="1" applyBorder="1"/>
    <xf numFmtId="3" fontId="3" fillId="0" borderId="14" xfId="0" applyNumberFormat="1" applyFont="1" applyBorder="1"/>
    <xf numFmtId="3" fontId="3" fillId="0" borderId="13" xfId="0" applyNumberFormat="1" applyFont="1" applyBorder="1" applyAlignment="1">
      <alignment horizontal="center"/>
    </xf>
    <xf numFmtId="0" fontId="0" fillId="0" borderId="15" xfId="0" applyBorder="1"/>
    <xf numFmtId="0" fontId="0" fillId="0" borderId="17" xfId="0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8" xfId="0" applyBorder="1"/>
    <xf numFmtId="0" fontId="0" fillId="0" borderId="21" xfId="0" applyBorder="1"/>
    <xf numFmtId="0" fontId="0" fillId="0" borderId="9" xfId="0" applyBorder="1"/>
    <xf numFmtId="0" fontId="0" fillId="0" borderId="21" xfId="0" applyBorder="1" applyAlignment="1">
      <alignment horizontal="center"/>
    </xf>
    <xf numFmtId="0" fontId="0" fillId="0" borderId="22" xfId="0" applyBorder="1"/>
    <xf numFmtId="0" fontId="5" fillId="0" borderId="8" xfId="0" applyFont="1" applyBorder="1" applyAlignment="1">
      <alignment horizontal="center"/>
    </xf>
    <xf numFmtId="3" fontId="5" fillId="0" borderId="9" xfId="0" applyNumberFormat="1" applyFont="1" applyBorder="1"/>
    <xf numFmtId="3" fontId="5" fillId="0" borderId="10" xfId="0" applyNumberFormat="1" applyFont="1" applyBorder="1"/>
    <xf numFmtId="3" fontId="5" fillId="0" borderId="9" xfId="0" applyNumberFormat="1" applyFont="1" applyBorder="1" applyAlignment="1">
      <alignment horizontal="center"/>
    </xf>
    <xf numFmtId="4" fontId="5" fillId="0" borderId="9" xfId="0" applyNumberFormat="1" applyFont="1" applyBorder="1"/>
    <xf numFmtId="4" fontId="5" fillId="0" borderId="23" xfId="0" applyNumberFormat="1" applyFont="1" applyBorder="1"/>
    <xf numFmtId="0" fontId="0" fillId="0" borderId="12" xfId="0" applyBorder="1"/>
    <xf numFmtId="0" fontId="0" fillId="0" borderId="13" xfId="0" applyBorder="1"/>
    <xf numFmtId="0" fontId="0" fillId="0" borderId="16" xfId="0" applyBorder="1"/>
    <xf numFmtId="3" fontId="0" fillId="0" borderId="13" xfId="0" applyNumberFormat="1" applyBorder="1"/>
    <xf numFmtId="3" fontId="5" fillId="0" borderId="13" xfId="0" applyNumberFormat="1" applyFont="1" applyBorder="1" applyAlignment="1">
      <alignment horizontal="center"/>
    </xf>
    <xf numFmtId="3" fontId="5" fillId="0" borderId="13" xfId="0" applyNumberFormat="1" applyFont="1" applyBorder="1"/>
    <xf numFmtId="3" fontId="5" fillId="0" borderId="24" xfId="0" applyNumberFormat="1" applyFont="1" applyBorder="1"/>
    <xf numFmtId="0" fontId="5" fillId="0" borderId="4" xfId="0" applyFont="1" applyBorder="1"/>
    <xf numFmtId="3" fontId="5" fillId="0" borderId="5" xfId="0" applyNumberFormat="1" applyFont="1" applyBorder="1"/>
    <xf numFmtId="3" fontId="5" fillId="0" borderId="25" xfId="0" applyNumberFormat="1" applyFont="1" applyBorder="1"/>
    <xf numFmtId="3" fontId="5" fillId="0" borderId="5" xfId="0" applyNumberFormat="1" applyFont="1" applyBorder="1" applyAlignment="1">
      <alignment horizontal="center"/>
    </xf>
    <xf numFmtId="3" fontId="5" fillId="0" borderId="26" xfId="0" applyNumberFormat="1" applyFont="1" applyBorder="1"/>
    <xf numFmtId="3" fontId="0" fillId="0" borderId="9" xfId="0" applyNumberFormat="1" applyBorder="1"/>
    <xf numFmtId="3" fontId="0" fillId="0" borderId="10" xfId="0" applyNumberFormat="1" applyBorder="1"/>
    <xf numFmtId="3" fontId="2" fillId="0" borderId="9" xfId="0" applyNumberFormat="1" applyFont="1" applyBorder="1" applyAlignment="1">
      <alignment horizontal="center"/>
    </xf>
    <xf numFmtId="3" fontId="0" fillId="0" borderId="23" xfId="0" applyNumberFormat="1" applyBorder="1"/>
    <xf numFmtId="3" fontId="2" fillId="0" borderId="9" xfId="0" applyNumberFormat="1" applyFont="1" applyBorder="1"/>
    <xf numFmtId="0" fontId="0" fillId="0" borderId="27" xfId="0" applyBorder="1"/>
    <xf numFmtId="3" fontId="0" fillId="0" borderId="28" xfId="0" applyNumberFormat="1" applyBorder="1"/>
    <xf numFmtId="3" fontId="0" fillId="0" borderId="29" xfId="0" applyNumberFormat="1" applyBorder="1"/>
    <xf numFmtId="3" fontId="2" fillId="0" borderId="28" xfId="0" applyNumberFormat="1" applyFont="1" applyBorder="1" applyAlignment="1">
      <alignment horizontal="center"/>
    </xf>
    <xf numFmtId="3" fontId="2" fillId="0" borderId="28" xfId="0" applyNumberFormat="1" applyFont="1" applyBorder="1"/>
    <xf numFmtId="3" fontId="0" fillId="0" borderId="30" xfId="0" applyNumberFormat="1" applyBorder="1"/>
    <xf numFmtId="3" fontId="5" fillId="2" borderId="0" xfId="0" applyNumberFormat="1" applyFont="1" applyFill="1"/>
    <xf numFmtId="0" fontId="5" fillId="2" borderId="8" xfId="0" applyFont="1" applyFill="1" applyBorder="1"/>
    <xf numFmtId="3" fontId="5" fillId="0" borderId="23" xfId="0" applyNumberFormat="1" applyFont="1" applyBorder="1"/>
    <xf numFmtId="0" fontId="0" fillId="2" borderId="0" xfId="0" applyFill="1"/>
    <xf numFmtId="3" fontId="2" fillId="0" borderId="23" xfId="0" applyNumberFormat="1" applyFont="1" applyBorder="1"/>
    <xf numFmtId="0" fontId="0" fillId="2" borderId="8" xfId="0" applyFill="1" applyBorder="1"/>
    <xf numFmtId="3" fontId="2" fillId="0" borderId="29" xfId="0" applyNumberFormat="1" applyFont="1" applyBorder="1"/>
    <xf numFmtId="3" fontId="0" fillId="2" borderId="28" xfId="0" applyNumberFormat="1" applyFill="1" applyBorder="1"/>
    <xf numFmtId="3" fontId="0" fillId="2" borderId="30" xfId="0" applyNumberFormat="1" applyFill="1" applyBorder="1"/>
    <xf numFmtId="0" fontId="5" fillId="0" borderId="8" xfId="0" applyFont="1" applyBorder="1"/>
    <xf numFmtId="3" fontId="5" fillId="0" borderId="31" xfId="0" applyNumberFormat="1" applyFont="1" applyBorder="1"/>
    <xf numFmtId="3" fontId="2" fillId="0" borderId="9" xfId="0" applyNumberFormat="1" applyFont="1" applyBorder="1" applyAlignment="1">
      <alignment vertical="center" wrapText="1"/>
    </xf>
    <xf numFmtId="3" fontId="2" fillId="0" borderId="23" xfId="0" applyNumberFormat="1" applyFont="1" applyBorder="1" applyAlignment="1">
      <alignment vertical="center" wrapText="1"/>
    </xf>
    <xf numFmtId="0" fontId="2" fillId="0" borderId="8" xfId="0" applyFont="1" applyBorder="1"/>
    <xf numFmtId="3" fontId="2" fillId="0" borderId="0" xfId="0" applyNumberFormat="1" applyFont="1"/>
    <xf numFmtId="3" fontId="0" fillId="0" borderId="32" xfId="0" applyNumberFormat="1" applyBorder="1"/>
    <xf numFmtId="3" fontId="5" fillId="0" borderId="11" xfId="0" applyNumberFormat="1" applyFont="1" applyBorder="1"/>
    <xf numFmtId="3" fontId="0" fillId="0" borderId="9" xfId="0" applyNumberFormat="1" applyBorder="1" applyAlignment="1">
      <alignment horizontal="center"/>
    </xf>
    <xf numFmtId="3" fontId="2" fillId="0" borderId="13" xfId="0" applyNumberFormat="1" applyFont="1" applyBorder="1"/>
    <xf numFmtId="3" fontId="2" fillId="0" borderId="14" xfId="0" applyNumberFormat="1" applyFont="1" applyBorder="1"/>
    <xf numFmtId="3" fontId="0" fillId="2" borderId="13" xfId="0" applyNumberFormat="1" applyFill="1" applyBorder="1"/>
    <xf numFmtId="3" fontId="0" fillId="2" borderId="24" xfId="0" applyNumberFormat="1" applyFill="1" applyBorder="1"/>
    <xf numFmtId="0" fontId="0" fillId="0" borderId="0" xfId="0" applyAlignment="1">
      <alignment horizontal="center"/>
    </xf>
    <xf numFmtId="0" fontId="8" fillId="0" borderId="0" xfId="0" applyFont="1"/>
    <xf numFmtId="0" fontId="9" fillId="0" borderId="0" xfId="0" applyFont="1"/>
    <xf numFmtId="0" fontId="9" fillId="2" borderId="0" xfId="0" applyFont="1" applyFill="1" applyAlignment="1">
      <alignment horizontal="center"/>
    </xf>
    <xf numFmtId="0" fontId="9" fillId="2" borderId="0" xfId="0" applyFont="1" applyFill="1"/>
    <xf numFmtId="0" fontId="9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/>
    </xf>
    <xf numFmtId="3" fontId="10" fillId="0" borderId="9" xfId="0" applyNumberFormat="1" applyFont="1" applyBorder="1"/>
    <xf numFmtId="3" fontId="10" fillId="0" borderId="9" xfId="0" applyNumberFormat="1" applyFont="1" applyBorder="1" applyAlignment="1">
      <alignment horizontal="center"/>
    </xf>
    <xf numFmtId="3" fontId="10" fillId="0" borderId="23" xfId="0" applyNumberFormat="1" applyFont="1" applyBorder="1"/>
    <xf numFmtId="3" fontId="8" fillId="0" borderId="0" xfId="0" applyNumberFormat="1" applyFont="1"/>
    <xf numFmtId="0" fontId="9" fillId="0" borderId="8" xfId="0" applyFont="1" applyBorder="1"/>
    <xf numFmtId="3" fontId="11" fillId="0" borderId="9" xfId="0" applyNumberFormat="1" applyFont="1" applyBorder="1"/>
    <xf numFmtId="0" fontId="11" fillId="0" borderId="9" xfId="0" applyFont="1" applyBorder="1"/>
    <xf numFmtId="0" fontId="9" fillId="0" borderId="28" xfId="0" applyFont="1" applyBorder="1"/>
    <xf numFmtId="3" fontId="9" fillId="0" borderId="28" xfId="0" applyNumberFormat="1" applyFont="1" applyBorder="1"/>
    <xf numFmtId="164" fontId="10" fillId="0" borderId="10" xfId="0" applyNumberFormat="1" applyFont="1" applyBorder="1" applyAlignment="1">
      <alignment horizontal="center"/>
    </xf>
    <xf numFmtId="164" fontId="10" fillId="0" borderId="28" xfId="0" applyNumberFormat="1" applyFont="1" applyBorder="1"/>
    <xf numFmtId="0" fontId="9" fillId="2" borderId="28" xfId="0" applyFont="1" applyFill="1" applyBorder="1"/>
    <xf numFmtId="0" fontId="9" fillId="0" borderId="23" xfId="0" applyFont="1" applyBorder="1"/>
    <xf numFmtId="0" fontId="10" fillId="0" borderId="34" xfId="0" applyFont="1" applyBorder="1"/>
    <xf numFmtId="3" fontId="10" fillId="0" borderId="21" xfId="0" applyNumberFormat="1" applyFont="1" applyBorder="1"/>
    <xf numFmtId="3" fontId="10" fillId="0" borderId="31" xfId="0" applyNumberFormat="1" applyFont="1" applyBorder="1"/>
    <xf numFmtId="3" fontId="10" fillId="0" borderId="35" xfId="0" applyNumberFormat="1" applyFont="1" applyBorder="1"/>
    <xf numFmtId="164" fontId="10" fillId="2" borderId="21" xfId="0" applyNumberFormat="1" applyFont="1" applyFill="1" applyBorder="1" applyAlignment="1">
      <alignment horizontal="center"/>
    </xf>
    <xf numFmtId="3" fontId="10" fillId="0" borderId="36" xfId="0" applyNumberFormat="1" applyFont="1" applyBorder="1"/>
    <xf numFmtId="3" fontId="9" fillId="0" borderId="10" xfId="0" applyNumberFormat="1" applyFont="1" applyBorder="1"/>
    <xf numFmtId="3" fontId="9" fillId="0" borderId="9" xfId="0" applyNumberFormat="1" applyFont="1" applyBorder="1"/>
    <xf numFmtId="3" fontId="9" fillId="0" borderId="0" xfId="0" applyNumberFormat="1" applyFont="1"/>
    <xf numFmtId="3" fontId="9" fillId="0" borderId="9" xfId="0" applyNumberFormat="1" applyFont="1" applyBorder="1" applyAlignment="1">
      <alignment horizontal="center"/>
    </xf>
    <xf numFmtId="3" fontId="9" fillId="0" borderId="11" xfId="0" applyNumberFormat="1" applyFont="1" applyBorder="1"/>
    <xf numFmtId="4" fontId="8" fillId="0" borderId="0" xfId="0" applyNumberFormat="1" applyFont="1"/>
    <xf numFmtId="3" fontId="10" fillId="2" borderId="35" xfId="0" applyNumberFormat="1" applyFont="1" applyFill="1" applyBorder="1"/>
    <xf numFmtId="3" fontId="10" fillId="2" borderId="21" xfId="0" applyNumberFormat="1" applyFont="1" applyFill="1" applyBorder="1"/>
    <xf numFmtId="3" fontId="10" fillId="2" borderId="36" xfId="0" applyNumberFormat="1" applyFont="1" applyFill="1" applyBorder="1"/>
    <xf numFmtId="164" fontId="9" fillId="0" borderId="9" xfId="0" applyNumberFormat="1" applyFont="1" applyBorder="1" applyAlignment="1">
      <alignment horizontal="center"/>
    </xf>
    <xf numFmtId="4" fontId="9" fillId="0" borderId="10" xfId="0" applyNumberFormat="1" applyFont="1" applyBorder="1"/>
    <xf numFmtId="164" fontId="10" fillId="0" borderId="21" xfId="0" applyNumberFormat="1" applyFont="1" applyBorder="1" applyAlignment="1">
      <alignment horizontal="center"/>
    </xf>
    <xf numFmtId="3" fontId="9" fillId="0" borderId="21" xfId="0" applyNumberFormat="1" applyFont="1" applyBorder="1"/>
    <xf numFmtId="0" fontId="9" fillId="0" borderId="27" xfId="0" applyFont="1" applyBorder="1"/>
    <xf numFmtId="3" fontId="9" fillId="0" borderId="29" xfId="0" applyNumberFormat="1" applyFont="1" applyBorder="1"/>
    <xf numFmtId="3" fontId="9" fillId="0" borderId="32" xfId="0" applyNumberFormat="1" applyFont="1" applyBorder="1"/>
    <xf numFmtId="3" fontId="9" fillId="0" borderId="28" xfId="0" applyNumberFormat="1" applyFont="1" applyBorder="1" applyAlignment="1">
      <alignment horizontal="center"/>
    </xf>
    <xf numFmtId="3" fontId="9" fillId="0" borderId="37" xfId="0" applyNumberFormat="1" applyFont="1" applyBorder="1"/>
    <xf numFmtId="0" fontId="10" fillId="0" borderId="8" xfId="0" applyFont="1" applyBorder="1"/>
    <xf numFmtId="3" fontId="10" fillId="0" borderId="10" xfId="0" applyNumberFormat="1" applyFont="1" applyBorder="1"/>
    <xf numFmtId="3" fontId="10" fillId="0" borderId="0" xfId="0" applyNumberFormat="1" applyFont="1"/>
    <xf numFmtId="164" fontId="10" fillId="0" borderId="9" xfId="0" applyNumberFormat="1" applyFont="1" applyBorder="1" applyAlignment="1">
      <alignment horizontal="center"/>
    </xf>
    <xf numFmtId="3" fontId="10" fillId="0" borderId="11" xfId="0" applyNumberFormat="1" applyFont="1" applyBorder="1"/>
    <xf numFmtId="3" fontId="9" fillId="0" borderId="10" xfId="0" applyNumberFormat="1" applyFont="1" applyBorder="1" applyAlignment="1">
      <alignment vertical="center"/>
    </xf>
    <xf numFmtId="3" fontId="9" fillId="2" borderId="9" xfId="0" applyNumberFormat="1" applyFont="1" applyFill="1" applyBorder="1"/>
    <xf numFmtId="0" fontId="9" fillId="0" borderId="12" xfId="0" applyFont="1" applyBorder="1"/>
    <xf numFmtId="3" fontId="9" fillId="0" borderId="14" xfId="0" applyNumberFormat="1" applyFont="1" applyBorder="1"/>
    <xf numFmtId="3" fontId="9" fillId="0" borderId="13" xfId="0" applyNumberFormat="1" applyFont="1" applyBorder="1"/>
    <xf numFmtId="3" fontId="9" fillId="0" borderId="16" xfId="0" applyNumberFormat="1" applyFont="1" applyBorder="1"/>
    <xf numFmtId="164" fontId="9" fillId="0" borderId="13" xfId="0" applyNumberFormat="1" applyFont="1" applyBorder="1" applyAlignment="1">
      <alignment horizontal="center"/>
    </xf>
    <xf numFmtId="3" fontId="9" fillId="2" borderId="13" xfId="0" applyNumberFormat="1" applyFont="1" applyFill="1" applyBorder="1"/>
    <xf numFmtId="3" fontId="9" fillId="0" borderId="15" xfId="0" applyNumberFormat="1" applyFont="1" applyBorder="1"/>
    <xf numFmtId="0" fontId="8" fillId="0" borderId="0" xfId="0" applyFont="1" applyAlignment="1">
      <alignment horizontal="center"/>
    </xf>
    <xf numFmtId="0" fontId="8" fillId="2" borderId="0" xfId="0" applyFont="1" applyFill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25C49-D710-42AD-A325-B6026AC183C1}">
  <sheetPr>
    <pageSetUpPr fitToPage="1"/>
  </sheetPr>
  <dimension ref="A4:L18"/>
  <sheetViews>
    <sheetView tabSelected="1" workbookViewId="0">
      <selection activeCell="H13" sqref="H13"/>
    </sheetView>
  </sheetViews>
  <sheetFormatPr baseColWidth="10" defaultRowHeight="15" x14ac:dyDescent="0.25"/>
  <cols>
    <col min="1" max="1" width="20.42578125" customWidth="1"/>
    <col min="2" max="3" width="14.85546875" customWidth="1"/>
    <col min="4" max="4" width="13.5703125" customWidth="1"/>
    <col min="5" max="5" width="13.7109375" customWidth="1"/>
    <col min="6" max="6" width="15" customWidth="1"/>
    <col min="7" max="7" width="15.28515625" customWidth="1"/>
    <col min="8" max="8" width="12.140625" customWidth="1"/>
    <col min="9" max="9" width="11.28515625" customWidth="1"/>
    <col min="10" max="10" width="11.85546875" customWidth="1"/>
  </cols>
  <sheetData>
    <row r="4" spans="1:12" ht="18" x14ac:dyDescent="0.25">
      <c r="A4" s="159" t="s">
        <v>87</v>
      </c>
      <c r="B4" s="159"/>
      <c r="C4" s="159"/>
      <c r="D4" s="159"/>
      <c r="E4" s="159"/>
      <c r="F4" s="159"/>
      <c r="G4" s="159"/>
      <c r="H4" s="159"/>
      <c r="I4" s="159"/>
      <c r="J4" s="159"/>
      <c r="K4" s="159"/>
      <c r="L4" s="1" t="s">
        <v>0</v>
      </c>
    </row>
    <row r="7" spans="1:12" ht="15.75" thickBot="1" x14ac:dyDescent="0.3"/>
    <row r="8" spans="1:12" s="6" customFormat="1" ht="57.75" thickBot="1" x14ac:dyDescent="0.3">
      <c r="A8" s="2" t="s">
        <v>1</v>
      </c>
      <c r="B8" s="3" t="s">
        <v>2</v>
      </c>
      <c r="C8" s="3" t="s">
        <v>3</v>
      </c>
      <c r="D8" s="3" t="s">
        <v>4</v>
      </c>
      <c r="E8" s="4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5" t="s">
        <v>11</v>
      </c>
    </row>
    <row r="9" spans="1:12" x14ac:dyDescent="0.25">
      <c r="A9" s="7"/>
      <c r="B9" s="8"/>
      <c r="C9" s="8"/>
      <c r="D9" s="8"/>
      <c r="E9" s="9"/>
      <c r="F9" s="10"/>
      <c r="G9" s="10"/>
      <c r="H9" s="10"/>
      <c r="I9" s="9"/>
      <c r="J9" s="10"/>
      <c r="K9" s="11"/>
    </row>
    <row r="10" spans="1:12" x14ac:dyDescent="0.25">
      <c r="A10" s="12"/>
      <c r="B10" s="13">
        <f>B12+B14</f>
        <v>55434689</v>
      </c>
      <c r="C10" s="13">
        <f>C12+C14</f>
        <v>15424746.09</v>
      </c>
      <c r="D10" s="13">
        <f>B10-C10</f>
        <v>40009942.909999996</v>
      </c>
      <c r="E10" s="14">
        <f>E12+E14</f>
        <v>52817137</v>
      </c>
      <c r="F10" s="13">
        <f>F12+F14</f>
        <v>27645844.270000003</v>
      </c>
      <c r="G10" s="13">
        <f>F10/E10*100</f>
        <v>52.342565008777363</v>
      </c>
      <c r="H10" s="13">
        <f>H12+H14</f>
        <v>13467540.620000001</v>
      </c>
      <c r="I10" s="13">
        <f>I12+I14</f>
        <v>6897316.3600000003</v>
      </c>
      <c r="J10" s="13">
        <f>J12+J14</f>
        <v>25171292.729999997</v>
      </c>
      <c r="K10" s="15">
        <f>K12+K14</f>
        <v>6396098.6399999997</v>
      </c>
    </row>
    <row r="11" spans="1:12" x14ac:dyDescent="0.25">
      <c r="A11" s="16"/>
      <c r="B11" s="17"/>
      <c r="C11" s="17"/>
      <c r="D11" s="17"/>
      <c r="E11" s="18"/>
      <c r="F11" s="17"/>
      <c r="G11" s="13"/>
      <c r="H11" s="13"/>
      <c r="I11" s="18"/>
      <c r="J11" s="13"/>
      <c r="K11" s="19"/>
    </row>
    <row r="12" spans="1:12" x14ac:dyDescent="0.25">
      <c r="A12" s="16" t="s">
        <v>12</v>
      </c>
      <c r="B12" s="20">
        <v>6689700</v>
      </c>
      <c r="C12" s="20">
        <f>74951.62</f>
        <v>74951.62</v>
      </c>
      <c r="D12" s="20">
        <f>B12-C12</f>
        <v>6614748.3799999999</v>
      </c>
      <c r="E12" s="21">
        <v>4883276</v>
      </c>
      <c r="F12" s="20">
        <v>4247896.6500000004</v>
      </c>
      <c r="G12" s="22">
        <f>F12/E12*100</f>
        <v>86.988666010276717</v>
      </c>
      <c r="H12" s="23">
        <v>4012092.04</v>
      </c>
      <c r="I12" s="21">
        <v>3886107.66</v>
      </c>
      <c r="J12" s="23">
        <f>E12-F12</f>
        <v>635379.34999999963</v>
      </c>
      <c r="K12" s="24">
        <f>D12-F12-18000</f>
        <v>2348851.7299999995</v>
      </c>
    </row>
    <row r="13" spans="1:12" x14ac:dyDescent="0.25">
      <c r="A13" s="16"/>
      <c r="B13" s="20"/>
      <c r="C13" s="20"/>
      <c r="D13" s="20"/>
      <c r="E13" s="25"/>
      <c r="F13" s="20"/>
      <c r="G13" s="22"/>
      <c r="H13" s="23"/>
      <c r="I13" s="25"/>
      <c r="J13" s="23"/>
      <c r="K13" s="26"/>
    </row>
    <row r="14" spans="1:12" x14ac:dyDescent="0.25">
      <c r="A14" s="16" t="s">
        <v>13</v>
      </c>
      <c r="B14" s="20">
        <f>49500000-22500-130000-602511</f>
        <v>48744989</v>
      </c>
      <c r="C14" s="20">
        <f>357960+15833514.47-841680</f>
        <v>15349794.470000001</v>
      </c>
      <c r="D14" s="20">
        <f>B14-C14</f>
        <v>33395194.530000001</v>
      </c>
      <c r="E14" s="21">
        <v>47933861</v>
      </c>
      <c r="F14" s="20">
        <v>23397947.620000001</v>
      </c>
      <c r="G14" s="22">
        <f>F14/E14*100</f>
        <v>48.812983414793152</v>
      </c>
      <c r="H14" s="23">
        <v>9455448.5800000001</v>
      </c>
      <c r="I14" s="25">
        <v>3011208.7</v>
      </c>
      <c r="J14" s="23">
        <f>E14-F14</f>
        <v>24535913.379999999</v>
      </c>
      <c r="K14" s="24">
        <f>D14-F14-5950000</f>
        <v>4047246.91</v>
      </c>
      <c r="L14" s="27"/>
    </row>
    <row r="15" spans="1:12" ht="15.75" thickBot="1" x14ac:dyDescent="0.3">
      <c r="A15" s="28"/>
      <c r="B15" s="29"/>
      <c r="C15" s="29"/>
      <c r="D15" s="30"/>
      <c r="E15" s="31"/>
      <c r="F15" s="29"/>
      <c r="G15" s="32"/>
      <c r="H15" s="32"/>
      <c r="I15" s="30"/>
      <c r="J15" s="32"/>
      <c r="K15" s="33"/>
    </row>
    <row r="17" spans="2:9" x14ac:dyDescent="0.25">
      <c r="B17" s="160"/>
      <c r="C17" s="160"/>
      <c r="D17" s="160"/>
    </row>
    <row r="18" spans="2:9" x14ac:dyDescent="0.25">
      <c r="E18" s="27"/>
      <c r="F18" s="27"/>
      <c r="I18" s="27"/>
    </row>
  </sheetData>
  <mergeCells count="2">
    <mergeCell ref="A4:K4"/>
    <mergeCell ref="B17:D17"/>
  </mergeCells>
  <pageMargins left="0.7" right="0.7" top="0.75" bottom="0.75" header="0.3" footer="0.3"/>
  <pageSetup scale="73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5E331-83F5-4234-96F2-D501ABB3EE48}">
  <dimension ref="A2:O31"/>
  <sheetViews>
    <sheetView workbookViewId="0">
      <selection activeCell="A2" sqref="A2:K2"/>
    </sheetView>
  </sheetViews>
  <sheetFormatPr baseColWidth="10" defaultRowHeight="15" x14ac:dyDescent="0.25"/>
  <cols>
    <col min="1" max="1" width="30.5703125" customWidth="1"/>
    <col min="2" max="4" width="12.28515625" customWidth="1"/>
    <col min="6" max="6" width="12.140625" customWidth="1"/>
    <col min="7" max="7" width="10.28515625" style="96" customWidth="1"/>
    <col min="8" max="8" width="11.5703125" customWidth="1"/>
    <col min="9" max="9" width="13.42578125" customWidth="1"/>
  </cols>
  <sheetData>
    <row r="2" spans="1:15" ht="16.5" thickBot="1" x14ac:dyDescent="0.3">
      <c r="A2" s="161" t="s">
        <v>86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</row>
    <row r="3" spans="1:15" ht="60" x14ac:dyDescent="0.25">
      <c r="A3" s="34" t="s">
        <v>14</v>
      </c>
      <c r="B3" s="35" t="s">
        <v>15</v>
      </c>
      <c r="C3" s="35" t="s">
        <v>3</v>
      </c>
      <c r="D3" s="35" t="s">
        <v>4</v>
      </c>
      <c r="E3" s="36" t="s">
        <v>16</v>
      </c>
      <c r="F3" s="37" t="s">
        <v>17</v>
      </c>
      <c r="G3" s="37" t="s">
        <v>18</v>
      </c>
      <c r="H3" s="37" t="s">
        <v>19</v>
      </c>
      <c r="I3" s="38" t="s">
        <v>9</v>
      </c>
      <c r="J3" s="37" t="s">
        <v>20</v>
      </c>
      <c r="K3" s="39" t="s">
        <v>21</v>
      </c>
    </row>
    <row r="4" spans="1:15" x14ac:dyDescent="0.25">
      <c r="A4" s="40"/>
      <c r="B4" s="41"/>
      <c r="C4" s="42"/>
      <c r="D4" s="42"/>
      <c r="F4" s="41"/>
      <c r="G4" s="43"/>
      <c r="H4" s="41"/>
      <c r="I4" s="41"/>
      <c r="J4" s="41"/>
      <c r="K4" s="44"/>
    </row>
    <row r="5" spans="1:15" x14ac:dyDescent="0.25">
      <c r="A5" s="45" t="s">
        <v>22</v>
      </c>
      <c r="B5" s="46">
        <f>B7+B12+B20+B29</f>
        <v>6689700</v>
      </c>
      <c r="C5" s="46">
        <f>C7+C12+C20+C29</f>
        <v>74951.62</v>
      </c>
      <c r="D5" s="46">
        <f>B5-C5</f>
        <v>6614748.3799999999</v>
      </c>
      <c r="E5" s="47">
        <f>E7+E12+E20+E29</f>
        <v>4883276</v>
      </c>
      <c r="F5" s="46">
        <f>F7+F12+F20+F29</f>
        <v>4247896.6499999994</v>
      </c>
      <c r="G5" s="48">
        <f>F5/E5*100</f>
        <v>86.988666010276688</v>
      </c>
      <c r="H5" s="46">
        <f>H7+H12+H20+H29</f>
        <v>4012092.04</v>
      </c>
      <c r="I5" s="46">
        <f>I7+I12+I20+I29</f>
        <v>3886107.6599999997</v>
      </c>
      <c r="J5" s="49">
        <f>E5-F5</f>
        <v>635379.35000000056</v>
      </c>
      <c r="K5" s="50">
        <f>F5-G5</f>
        <v>4247809.6613339894</v>
      </c>
    </row>
    <row r="6" spans="1:15" ht="15.75" thickBot="1" x14ac:dyDescent="0.3">
      <c r="A6" s="51"/>
      <c r="B6" s="52"/>
      <c r="C6" s="52"/>
      <c r="D6" s="52"/>
      <c r="E6" s="53"/>
      <c r="F6" s="54"/>
      <c r="G6" s="55"/>
      <c r="H6" s="56"/>
      <c r="I6" s="56"/>
      <c r="J6" s="56"/>
      <c r="K6" s="57"/>
    </row>
    <row r="7" spans="1:15" x14ac:dyDescent="0.25">
      <c r="A7" s="58" t="s">
        <v>23</v>
      </c>
      <c r="B7" s="59">
        <f>B8+B9+B10+B11</f>
        <v>5872628</v>
      </c>
      <c r="C7" s="59">
        <f>C8+C9+C10+C11</f>
        <v>74951.62</v>
      </c>
      <c r="D7" s="59">
        <f>B7-C7</f>
        <v>5797676.3799999999</v>
      </c>
      <c r="E7" s="60">
        <f t="shared" ref="E7:I7" si="0">E8+E9+E10+E11</f>
        <v>4084804</v>
      </c>
      <c r="F7" s="59">
        <f t="shared" si="0"/>
        <v>3664996.33</v>
      </c>
      <c r="G7" s="61">
        <f t="shared" ref="G7:G31" si="1">F7/E7*100</f>
        <v>89.722697343617952</v>
      </c>
      <c r="H7" s="59">
        <f t="shared" si="0"/>
        <v>3664996.33</v>
      </c>
      <c r="I7" s="59">
        <f t="shared" si="0"/>
        <v>3585894.48</v>
      </c>
      <c r="J7" s="59">
        <f>E7-F7</f>
        <v>419807.66999999993</v>
      </c>
      <c r="K7" s="62">
        <f>D7-F7</f>
        <v>2132680.0499999998</v>
      </c>
    </row>
    <row r="8" spans="1:15" x14ac:dyDescent="0.25">
      <c r="A8" s="40" t="s">
        <v>24</v>
      </c>
      <c r="B8" s="63">
        <v>4872776</v>
      </c>
      <c r="C8" s="63">
        <v>74951.62</v>
      </c>
      <c r="D8" s="63">
        <f>B8-C8</f>
        <v>4797824.38</v>
      </c>
      <c r="E8" s="64">
        <v>3410724</v>
      </c>
      <c r="F8" s="63">
        <v>3080760.43</v>
      </c>
      <c r="G8" s="65">
        <f t="shared" si="1"/>
        <v>90.325702988573696</v>
      </c>
      <c r="H8" s="63">
        <v>3080760.43</v>
      </c>
      <c r="I8" s="63">
        <v>3007129.34</v>
      </c>
      <c r="J8" s="63">
        <f>E8-F8</f>
        <v>329963.56999999983</v>
      </c>
      <c r="K8" s="66">
        <f>D8-F8</f>
        <v>1717063.9499999997</v>
      </c>
    </row>
    <row r="9" spans="1:15" x14ac:dyDescent="0.25">
      <c r="A9" s="40" t="s">
        <v>25</v>
      </c>
      <c r="B9" s="63">
        <v>106550</v>
      </c>
      <c r="C9" s="63"/>
      <c r="D9" s="63">
        <f t="shared" ref="D9:D31" si="2">B9-C9</f>
        <v>106550</v>
      </c>
      <c r="E9" s="64">
        <v>71350</v>
      </c>
      <c r="F9" s="63">
        <v>71301.2</v>
      </c>
      <c r="G9" s="65">
        <f t="shared" si="1"/>
        <v>99.931604765241772</v>
      </c>
      <c r="H9" s="63">
        <v>71301.2</v>
      </c>
      <c r="I9" s="67">
        <v>69492.3</v>
      </c>
      <c r="J9" s="63">
        <f t="shared" ref="J9:J11" si="3">E9-F9</f>
        <v>48.80000000000291</v>
      </c>
      <c r="K9" s="66">
        <f t="shared" ref="K9:K11" si="4">D9-F9</f>
        <v>35248.800000000003</v>
      </c>
      <c r="N9" t="s">
        <v>0</v>
      </c>
      <c r="O9" t="s">
        <v>26</v>
      </c>
    </row>
    <row r="10" spans="1:15" x14ac:dyDescent="0.25">
      <c r="A10" s="40" t="s">
        <v>27</v>
      </c>
      <c r="B10" s="63">
        <v>112900</v>
      </c>
      <c r="C10" s="63"/>
      <c r="D10" s="63">
        <f t="shared" si="2"/>
        <v>112900</v>
      </c>
      <c r="E10" s="64">
        <v>75500</v>
      </c>
      <c r="F10" s="63">
        <v>70194.149999999994</v>
      </c>
      <c r="G10" s="65">
        <f t="shared" si="1"/>
        <v>92.972384105960259</v>
      </c>
      <c r="H10" s="63">
        <v>70194.149999999994</v>
      </c>
      <c r="I10" s="67">
        <v>67648.97</v>
      </c>
      <c r="J10" s="63">
        <f t="shared" si="3"/>
        <v>5305.8500000000058</v>
      </c>
      <c r="K10" s="66">
        <f t="shared" si="4"/>
        <v>42705.850000000006</v>
      </c>
    </row>
    <row r="11" spans="1:15" x14ac:dyDescent="0.25">
      <c r="A11" s="68" t="s">
        <v>28</v>
      </c>
      <c r="B11" s="69">
        <v>780402</v>
      </c>
      <c r="C11" s="69"/>
      <c r="D11" s="69">
        <f t="shared" si="2"/>
        <v>780402</v>
      </c>
      <c r="E11" s="70">
        <v>527230</v>
      </c>
      <c r="F11" s="69">
        <v>442740.55</v>
      </c>
      <c r="G11" s="71">
        <f t="shared" si="1"/>
        <v>83.974840202568132</v>
      </c>
      <c r="H11" s="69">
        <v>442740.55</v>
      </c>
      <c r="I11" s="72">
        <v>441623.87</v>
      </c>
      <c r="J11" s="69">
        <f t="shared" si="3"/>
        <v>84489.450000000012</v>
      </c>
      <c r="K11" s="73">
        <f t="shared" si="4"/>
        <v>337661.45</v>
      </c>
      <c r="N11" s="74"/>
    </row>
    <row r="12" spans="1:15" s="77" customFormat="1" x14ac:dyDescent="0.25">
      <c r="A12" s="75" t="s">
        <v>29</v>
      </c>
      <c r="B12" s="46">
        <f>SUM(B13:B19)</f>
        <v>722319</v>
      </c>
      <c r="C12" s="46">
        <v>0</v>
      </c>
      <c r="D12" s="46">
        <f t="shared" si="2"/>
        <v>722319</v>
      </c>
      <c r="E12" s="46">
        <f>E13+E14+E15+E16+E17+E18+E19</f>
        <v>705639</v>
      </c>
      <c r="F12" s="46">
        <f>F13+F14+F15+F16+F17+F18+F19</f>
        <v>533296.93000000005</v>
      </c>
      <c r="G12" s="48">
        <f t="shared" si="1"/>
        <v>75.576453398975971</v>
      </c>
      <c r="H12" s="46">
        <f>SUM(H13:H19)</f>
        <v>300535.73</v>
      </c>
      <c r="I12" s="46">
        <f>SUM(I13:I19)</f>
        <v>273450.8</v>
      </c>
      <c r="J12" s="46">
        <f>E12-F12</f>
        <v>172342.06999999995</v>
      </c>
      <c r="K12" s="76">
        <f>D12-F12</f>
        <v>189022.06999999995</v>
      </c>
    </row>
    <row r="13" spans="1:15" s="77" customFormat="1" x14ac:dyDescent="0.25">
      <c r="A13" s="40" t="s">
        <v>30</v>
      </c>
      <c r="B13" s="63">
        <v>137500</v>
      </c>
      <c r="C13" s="63"/>
      <c r="D13" s="63">
        <f t="shared" si="2"/>
        <v>137500</v>
      </c>
      <c r="E13" s="63">
        <v>137500</v>
      </c>
      <c r="F13" s="63">
        <v>137392.92000000001</v>
      </c>
      <c r="G13" s="65">
        <f t="shared" si="1"/>
        <v>99.922123636363651</v>
      </c>
      <c r="H13" s="63">
        <v>72337.08</v>
      </c>
      <c r="I13" s="63">
        <v>72337.08</v>
      </c>
      <c r="J13" s="67">
        <f>E13-F13</f>
        <v>107.07999999998719</v>
      </c>
      <c r="K13" s="78">
        <f>D13-F13</f>
        <v>107.07999999998719</v>
      </c>
    </row>
    <row r="14" spans="1:15" s="77" customFormat="1" x14ac:dyDescent="0.25">
      <c r="A14" s="79" t="s">
        <v>31</v>
      </c>
      <c r="B14" s="63">
        <v>228700</v>
      </c>
      <c r="C14" s="63"/>
      <c r="D14" s="63">
        <f t="shared" si="2"/>
        <v>228700</v>
      </c>
      <c r="E14" s="63">
        <v>212020</v>
      </c>
      <c r="F14" s="63">
        <v>87502.54</v>
      </c>
      <c r="G14" s="65">
        <f t="shared" si="1"/>
        <v>41.270889538722763</v>
      </c>
      <c r="H14" s="63">
        <v>78480.14</v>
      </c>
      <c r="I14" s="63">
        <v>75205.009999999995</v>
      </c>
      <c r="J14" s="67">
        <f t="shared" ref="J14:J19" si="5">E14-F14</f>
        <v>124517.46</v>
      </c>
      <c r="K14" s="78">
        <f t="shared" ref="K14:K19" si="6">D14-F14</f>
        <v>141197.46000000002</v>
      </c>
    </row>
    <row r="15" spans="1:15" s="77" customFormat="1" x14ac:dyDescent="0.25">
      <c r="A15" s="79" t="s">
        <v>32</v>
      </c>
      <c r="B15" s="63">
        <v>0</v>
      </c>
      <c r="C15" s="63"/>
      <c r="D15" s="63">
        <f t="shared" si="2"/>
        <v>0</v>
      </c>
      <c r="E15" s="63">
        <v>0</v>
      </c>
      <c r="F15" s="63">
        <v>0</v>
      </c>
      <c r="G15" s="65"/>
      <c r="H15" s="67">
        <v>0</v>
      </c>
      <c r="I15" s="67">
        <v>0</v>
      </c>
      <c r="J15" s="67">
        <f t="shared" si="5"/>
        <v>0</v>
      </c>
      <c r="K15" s="78">
        <f t="shared" si="6"/>
        <v>0</v>
      </c>
    </row>
    <row r="16" spans="1:15" s="77" customFormat="1" x14ac:dyDescent="0.25">
      <c r="A16" s="79" t="s">
        <v>33</v>
      </c>
      <c r="B16" s="63">
        <v>200</v>
      </c>
      <c r="C16" s="63"/>
      <c r="D16" s="63">
        <f t="shared" si="2"/>
        <v>200</v>
      </c>
      <c r="E16" s="63">
        <v>200</v>
      </c>
      <c r="F16" s="63">
        <v>30</v>
      </c>
      <c r="G16" s="65">
        <f t="shared" si="1"/>
        <v>15</v>
      </c>
      <c r="H16" s="67">
        <v>30</v>
      </c>
      <c r="I16" s="67">
        <v>30</v>
      </c>
      <c r="J16" s="67">
        <f t="shared" si="5"/>
        <v>170</v>
      </c>
      <c r="K16" s="78">
        <f t="shared" si="6"/>
        <v>170</v>
      </c>
    </row>
    <row r="17" spans="1:11" s="77" customFormat="1" x14ac:dyDescent="0.25">
      <c r="A17" s="79" t="s">
        <v>34</v>
      </c>
      <c r="B17" s="63">
        <v>4135</v>
      </c>
      <c r="C17" s="63"/>
      <c r="D17" s="63">
        <f t="shared" si="2"/>
        <v>4135</v>
      </c>
      <c r="E17" s="63">
        <v>4135</v>
      </c>
      <c r="F17" s="63">
        <v>1945</v>
      </c>
      <c r="G17" s="65">
        <f t="shared" si="1"/>
        <v>47.037484885126965</v>
      </c>
      <c r="H17" s="67">
        <v>1345</v>
      </c>
      <c r="I17" s="67">
        <v>1345</v>
      </c>
      <c r="J17" s="67">
        <f t="shared" si="5"/>
        <v>2190</v>
      </c>
      <c r="K17" s="78">
        <f t="shared" si="6"/>
        <v>2190</v>
      </c>
    </row>
    <row r="18" spans="1:11" s="77" customFormat="1" x14ac:dyDescent="0.25">
      <c r="A18" s="79" t="s">
        <v>35</v>
      </c>
      <c r="B18" s="63">
        <v>228700</v>
      </c>
      <c r="C18" s="63"/>
      <c r="D18" s="63">
        <f t="shared" si="2"/>
        <v>228700</v>
      </c>
      <c r="E18" s="63">
        <v>228700</v>
      </c>
      <c r="F18" s="63">
        <v>196332.25</v>
      </c>
      <c r="G18" s="65">
        <f t="shared" si="1"/>
        <v>85.847070397901177</v>
      </c>
      <c r="H18" s="67">
        <v>97085.25</v>
      </c>
      <c r="I18" s="67">
        <v>86314.45</v>
      </c>
      <c r="J18" s="67">
        <f t="shared" si="5"/>
        <v>32367.75</v>
      </c>
      <c r="K18" s="78">
        <f t="shared" si="6"/>
        <v>32367.75</v>
      </c>
    </row>
    <row r="19" spans="1:11" x14ac:dyDescent="0.25">
      <c r="A19" s="68" t="s">
        <v>36</v>
      </c>
      <c r="B19" s="69">
        <v>123084</v>
      </c>
      <c r="C19" s="69"/>
      <c r="D19" s="69">
        <f t="shared" si="2"/>
        <v>123084</v>
      </c>
      <c r="E19" s="70">
        <v>123084</v>
      </c>
      <c r="F19" s="69">
        <v>110094.22</v>
      </c>
      <c r="G19" s="71">
        <f t="shared" si="1"/>
        <v>89.446410581391561</v>
      </c>
      <c r="H19" s="80">
        <v>51258.26</v>
      </c>
      <c r="I19" s="72">
        <v>38219.26</v>
      </c>
      <c r="J19" s="81">
        <f t="shared" si="5"/>
        <v>12989.779999999999</v>
      </c>
      <c r="K19" s="82">
        <f t="shared" si="6"/>
        <v>12989.779999999999</v>
      </c>
    </row>
    <row r="20" spans="1:11" x14ac:dyDescent="0.25">
      <c r="A20" s="83" t="s">
        <v>37</v>
      </c>
      <c r="B20" s="46">
        <f>SUM(B21:B28)</f>
        <v>73250</v>
      </c>
      <c r="C20" s="46">
        <f>SUM(C21:C28)</f>
        <v>0</v>
      </c>
      <c r="D20" s="46">
        <f t="shared" si="2"/>
        <v>73250</v>
      </c>
      <c r="E20" s="84">
        <f>SUM(E21:E28)</f>
        <v>71330</v>
      </c>
      <c r="F20" s="46">
        <f>SUM(F21:F28)</f>
        <v>31603.390000000003</v>
      </c>
      <c r="G20" s="48">
        <f t="shared" si="1"/>
        <v>44.30588812561335</v>
      </c>
      <c r="H20" s="46">
        <f>SUM(H21:H28)</f>
        <v>28559.98</v>
      </c>
      <c r="I20" s="46">
        <f>SUM(I21:I28)</f>
        <v>26762.379999999997</v>
      </c>
      <c r="J20" s="46">
        <f>E20-F20</f>
        <v>39726.61</v>
      </c>
      <c r="K20" s="76">
        <f>D20-F20</f>
        <v>41646.61</v>
      </c>
    </row>
    <row r="21" spans="1:11" x14ac:dyDescent="0.25">
      <c r="A21" s="40" t="s">
        <v>38</v>
      </c>
      <c r="B21" s="63">
        <v>9815</v>
      </c>
      <c r="C21" s="63"/>
      <c r="D21" s="63">
        <f t="shared" si="2"/>
        <v>9815</v>
      </c>
      <c r="E21" s="64">
        <v>9815</v>
      </c>
      <c r="F21" s="63">
        <v>3223</v>
      </c>
      <c r="G21" s="65">
        <f t="shared" si="1"/>
        <v>32.837493632195617</v>
      </c>
      <c r="H21" s="67">
        <v>1703</v>
      </c>
      <c r="I21" s="85">
        <v>1703</v>
      </c>
      <c r="J21" s="85">
        <f>E21-F21</f>
        <v>6592</v>
      </c>
      <c r="K21" s="86">
        <f>D21-F21</f>
        <v>6592</v>
      </c>
    </row>
    <row r="22" spans="1:11" x14ac:dyDescent="0.25">
      <c r="A22" s="40" t="s">
        <v>39</v>
      </c>
      <c r="B22" s="63">
        <v>20000</v>
      </c>
      <c r="C22" s="63"/>
      <c r="D22" s="63">
        <f t="shared" si="2"/>
        <v>20000</v>
      </c>
      <c r="E22" s="64">
        <v>19080</v>
      </c>
      <c r="F22" s="67">
        <v>3302.87</v>
      </c>
      <c r="G22" s="65">
        <f t="shared" si="1"/>
        <v>17.310639412997901</v>
      </c>
      <c r="H22" s="67">
        <v>2738.95</v>
      </c>
      <c r="I22" s="85">
        <v>2738.95</v>
      </c>
      <c r="J22" s="85">
        <f t="shared" ref="J22:J28" si="7">E22-F22</f>
        <v>15777.130000000001</v>
      </c>
      <c r="K22" s="86">
        <f t="shared" ref="K22:K28" si="8">D22-F22</f>
        <v>16697.13</v>
      </c>
    </row>
    <row r="23" spans="1:11" x14ac:dyDescent="0.25">
      <c r="A23" s="40" t="s">
        <v>40</v>
      </c>
      <c r="B23" s="63">
        <v>8235</v>
      </c>
      <c r="C23" s="63"/>
      <c r="D23" s="63">
        <f t="shared" si="2"/>
        <v>8235</v>
      </c>
      <c r="E23" s="64">
        <v>8235</v>
      </c>
      <c r="F23" s="63">
        <v>4739.04</v>
      </c>
      <c r="G23" s="65">
        <f t="shared" si="1"/>
        <v>57.547540983606559</v>
      </c>
      <c r="H23" s="67">
        <v>4739.04</v>
      </c>
      <c r="I23" s="85">
        <v>4739.04</v>
      </c>
      <c r="J23" s="85">
        <f t="shared" si="7"/>
        <v>3495.96</v>
      </c>
      <c r="K23" s="86">
        <f t="shared" si="8"/>
        <v>3495.96</v>
      </c>
    </row>
    <row r="24" spans="1:11" x14ac:dyDescent="0.25">
      <c r="A24" s="87" t="s">
        <v>41</v>
      </c>
      <c r="B24" s="63">
        <v>3200</v>
      </c>
      <c r="C24" s="63"/>
      <c r="D24" s="63">
        <f t="shared" si="2"/>
        <v>3200</v>
      </c>
      <c r="E24" s="64">
        <v>2200</v>
      </c>
      <c r="F24" s="63">
        <v>924.5</v>
      </c>
      <c r="G24" s="65">
        <f t="shared" si="1"/>
        <v>42.022727272727273</v>
      </c>
      <c r="H24" s="67">
        <v>924.5</v>
      </c>
      <c r="I24" s="85">
        <v>924.5</v>
      </c>
      <c r="J24" s="85">
        <f t="shared" si="7"/>
        <v>1275.5</v>
      </c>
      <c r="K24" s="86">
        <f t="shared" si="8"/>
        <v>2275.5</v>
      </c>
    </row>
    <row r="25" spans="1:11" x14ac:dyDescent="0.25">
      <c r="A25" s="87" t="s">
        <v>42</v>
      </c>
      <c r="B25" s="63">
        <v>3087</v>
      </c>
      <c r="C25" s="63"/>
      <c r="D25" s="63">
        <f t="shared" si="2"/>
        <v>3087</v>
      </c>
      <c r="E25" s="64">
        <v>3087</v>
      </c>
      <c r="F25" s="63">
        <v>2118.08</v>
      </c>
      <c r="G25" s="65">
        <f t="shared" si="1"/>
        <v>68.612892776158091</v>
      </c>
      <c r="H25" s="67">
        <v>2118.08</v>
      </c>
      <c r="I25" s="85">
        <v>320.48</v>
      </c>
      <c r="J25" s="85">
        <f t="shared" si="7"/>
        <v>968.92000000000007</v>
      </c>
      <c r="K25" s="86">
        <f t="shared" si="8"/>
        <v>968.92000000000007</v>
      </c>
    </row>
    <row r="26" spans="1:11" x14ac:dyDescent="0.25">
      <c r="A26" s="40" t="s">
        <v>43</v>
      </c>
      <c r="B26" s="63">
        <v>2000</v>
      </c>
      <c r="C26" s="63"/>
      <c r="D26" s="63">
        <f t="shared" si="2"/>
        <v>2000</v>
      </c>
      <c r="E26" s="64">
        <v>2000</v>
      </c>
      <c r="F26" s="63">
        <v>507.45</v>
      </c>
      <c r="G26" s="65">
        <f t="shared" si="1"/>
        <v>25.372499999999999</v>
      </c>
      <c r="H26" s="67">
        <v>507.45</v>
      </c>
      <c r="I26" s="85">
        <v>507.45</v>
      </c>
      <c r="J26" s="85">
        <f t="shared" si="7"/>
        <v>1492.55</v>
      </c>
      <c r="K26" s="86">
        <f t="shared" si="8"/>
        <v>1492.55</v>
      </c>
    </row>
    <row r="27" spans="1:11" x14ac:dyDescent="0.25">
      <c r="A27" s="40" t="s">
        <v>44</v>
      </c>
      <c r="B27" s="63">
        <v>21490</v>
      </c>
      <c r="C27" s="63"/>
      <c r="D27" s="63">
        <f t="shared" si="2"/>
        <v>21490</v>
      </c>
      <c r="E27" s="64">
        <v>21490</v>
      </c>
      <c r="F27" s="63">
        <v>13295.61</v>
      </c>
      <c r="G27" s="65">
        <f t="shared" si="1"/>
        <v>61.868822708236394</v>
      </c>
      <c r="H27" s="88">
        <v>13295.61</v>
      </c>
      <c r="I27" s="63">
        <v>13295.61</v>
      </c>
      <c r="J27" s="85">
        <f t="shared" si="7"/>
        <v>8194.39</v>
      </c>
      <c r="K27" s="86">
        <f t="shared" si="8"/>
        <v>8194.39</v>
      </c>
    </row>
    <row r="28" spans="1:11" x14ac:dyDescent="0.25">
      <c r="A28" s="68" t="s">
        <v>45</v>
      </c>
      <c r="B28" s="69">
        <v>5423</v>
      </c>
      <c r="C28" s="69"/>
      <c r="D28" s="69">
        <f t="shared" si="2"/>
        <v>5423</v>
      </c>
      <c r="E28" s="89">
        <v>5423</v>
      </c>
      <c r="F28" s="69">
        <v>3492.84</v>
      </c>
      <c r="G28" s="71">
        <f t="shared" si="1"/>
        <v>64.407892310529235</v>
      </c>
      <c r="H28" s="80">
        <v>2533.35</v>
      </c>
      <c r="I28" s="69">
        <v>2533.35</v>
      </c>
      <c r="J28" s="81">
        <f t="shared" si="7"/>
        <v>1930.1599999999999</v>
      </c>
      <c r="K28" s="82">
        <f t="shared" si="8"/>
        <v>1930.1599999999999</v>
      </c>
    </row>
    <row r="29" spans="1:11" x14ac:dyDescent="0.25">
      <c r="A29" s="83" t="s">
        <v>46</v>
      </c>
      <c r="B29" s="46">
        <f>B30+B31</f>
        <v>21503</v>
      </c>
      <c r="C29" s="46">
        <f t="shared" ref="C29:K29" si="9">C30+C31</f>
        <v>0</v>
      </c>
      <c r="D29" s="46">
        <f t="shared" si="9"/>
        <v>21503</v>
      </c>
      <c r="E29" s="46">
        <f t="shared" si="9"/>
        <v>21503</v>
      </c>
      <c r="F29" s="46">
        <f t="shared" si="9"/>
        <v>18000</v>
      </c>
      <c r="G29" s="48">
        <f t="shared" si="9"/>
        <v>100</v>
      </c>
      <c r="H29" s="46">
        <f t="shared" si="9"/>
        <v>18000</v>
      </c>
      <c r="I29" s="46">
        <f t="shared" si="9"/>
        <v>0</v>
      </c>
      <c r="J29" s="46">
        <f t="shared" si="9"/>
        <v>3503</v>
      </c>
      <c r="K29" s="90">
        <f t="shared" si="9"/>
        <v>3503</v>
      </c>
    </row>
    <row r="30" spans="1:11" x14ac:dyDescent="0.25">
      <c r="A30" s="40" t="s">
        <v>47</v>
      </c>
      <c r="B30" s="63">
        <v>18000</v>
      </c>
      <c r="C30" s="63"/>
      <c r="D30" s="63">
        <v>18000</v>
      </c>
      <c r="E30" s="63">
        <v>18000</v>
      </c>
      <c r="F30" s="63">
        <v>18000</v>
      </c>
      <c r="G30" s="91">
        <f>F30/E30*100</f>
        <v>100</v>
      </c>
      <c r="H30" s="63">
        <v>18000</v>
      </c>
      <c r="I30" s="63"/>
      <c r="J30" s="63">
        <f>E30-F30</f>
        <v>0</v>
      </c>
      <c r="K30" s="26">
        <f>D30-F30</f>
        <v>0</v>
      </c>
    </row>
    <row r="31" spans="1:11" ht="20.25" customHeight="1" thickBot="1" x14ac:dyDescent="0.3">
      <c r="A31" s="51" t="s">
        <v>48</v>
      </c>
      <c r="B31" s="92">
        <v>3503</v>
      </c>
      <c r="C31" s="92"/>
      <c r="D31" s="54">
        <f t="shared" si="2"/>
        <v>3503</v>
      </c>
      <c r="E31" s="92">
        <v>3503</v>
      </c>
      <c r="F31" s="92">
        <v>0</v>
      </c>
      <c r="G31" s="55">
        <f t="shared" si="1"/>
        <v>0</v>
      </c>
      <c r="H31" s="93">
        <v>0</v>
      </c>
      <c r="I31" s="92">
        <v>0</v>
      </c>
      <c r="J31" s="94">
        <f>E31-F31</f>
        <v>3503</v>
      </c>
      <c r="K31" s="95">
        <f>D31-F31</f>
        <v>3503</v>
      </c>
    </row>
  </sheetData>
  <mergeCells count="1">
    <mergeCell ref="A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83AF3-499D-41DA-8599-A3F63FFC4E0E}">
  <dimension ref="A1:R36"/>
  <sheetViews>
    <sheetView workbookViewId="0">
      <selection activeCell="M12" sqref="M12"/>
    </sheetView>
  </sheetViews>
  <sheetFormatPr baseColWidth="10" defaultColWidth="7.5703125" defaultRowHeight="12.75" x14ac:dyDescent="0.2"/>
  <cols>
    <col min="1" max="1" width="45.5703125" style="97" bestFit="1" customWidth="1"/>
    <col min="2" max="2" width="11.85546875" style="97" customWidth="1"/>
    <col min="3" max="3" width="12.5703125" style="97" customWidth="1"/>
    <col min="4" max="4" width="12.85546875" style="97" customWidth="1"/>
    <col min="5" max="5" width="10.140625" style="97" bestFit="1" customWidth="1"/>
    <col min="6" max="6" width="13.7109375" style="97" bestFit="1" customWidth="1"/>
    <col min="7" max="7" width="11.5703125" style="157" customWidth="1"/>
    <col min="8" max="8" width="11.85546875" style="97" customWidth="1"/>
    <col min="9" max="9" width="10.28515625" style="158" customWidth="1"/>
    <col min="10" max="10" width="10.140625" style="158" bestFit="1" customWidth="1"/>
    <col min="11" max="11" width="10.42578125" style="97" bestFit="1" customWidth="1"/>
    <col min="12" max="12" width="12" style="97" bestFit="1" customWidth="1"/>
    <col min="13" max="13" width="14.85546875" style="97" customWidth="1"/>
    <col min="14" max="14" width="15.28515625" style="97" customWidth="1"/>
    <col min="15" max="15" width="12" style="97" customWidth="1"/>
    <col min="16" max="16" width="9.42578125" style="97" bestFit="1" customWidth="1"/>
    <col min="17" max="16384" width="7.5703125" style="97"/>
  </cols>
  <sheetData>
    <row r="1" spans="1:15" ht="18.75" x14ac:dyDescent="0.3">
      <c r="A1" s="162" t="s">
        <v>85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</row>
    <row r="2" spans="1:15" ht="15.75" thickBot="1" x14ac:dyDescent="0.3">
      <c r="A2" s="98"/>
      <c r="B2" s="98"/>
      <c r="C2" s="98"/>
      <c r="D2" s="98"/>
      <c r="E2" s="98"/>
      <c r="F2" s="98"/>
      <c r="G2" s="99"/>
      <c r="H2" s="100"/>
      <c r="I2" s="97"/>
      <c r="J2" s="97"/>
    </row>
    <row r="3" spans="1:15" ht="66" customHeight="1" thickBot="1" x14ac:dyDescent="0.25">
      <c r="A3" s="101" t="s">
        <v>49</v>
      </c>
      <c r="B3" s="102" t="s">
        <v>50</v>
      </c>
      <c r="C3" s="103" t="s">
        <v>3</v>
      </c>
      <c r="D3" s="103" t="s">
        <v>51</v>
      </c>
      <c r="E3" s="103" t="s">
        <v>16</v>
      </c>
      <c r="F3" s="102" t="s">
        <v>17</v>
      </c>
      <c r="G3" s="103" t="s">
        <v>52</v>
      </c>
      <c r="H3" s="103" t="s">
        <v>53</v>
      </c>
      <c r="I3" s="102" t="s">
        <v>9</v>
      </c>
      <c r="J3" s="103" t="s">
        <v>54</v>
      </c>
      <c r="K3" s="104" t="s">
        <v>55</v>
      </c>
    </row>
    <row r="4" spans="1:15" ht="15" x14ac:dyDescent="0.25">
      <c r="A4" s="105" t="s">
        <v>22</v>
      </c>
      <c r="B4" s="106">
        <f>B6+B14+B17+B19+B23+B27+B32+B34</f>
        <v>48744989</v>
      </c>
      <c r="C4" s="106">
        <f>C6+C14+C17+C19+C23+C27+C32+C34</f>
        <v>15349794.470000003</v>
      </c>
      <c r="D4" s="106">
        <f>D6+D14+D17+D19+D23+D27+D32+D34</f>
        <v>33395194.530000001</v>
      </c>
      <c r="E4" s="106">
        <f t="shared" ref="E4:I4" si="0">E6+E14+E17+E19+E23+E27+E32+E34</f>
        <v>47933861</v>
      </c>
      <c r="F4" s="106">
        <f t="shared" si="0"/>
        <v>23397947.620000001</v>
      </c>
      <c r="G4" s="107">
        <f>F4/E4*100</f>
        <v>48.812983414793152</v>
      </c>
      <c r="H4" s="106">
        <f t="shared" si="0"/>
        <v>9455448.5800000001</v>
      </c>
      <c r="I4" s="106">
        <f t="shared" si="0"/>
        <v>3011208.6999999997</v>
      </c>
      <c r="J4" s="106">
        <f>E4-F4</f>
        <v>24535913.379999999</v>
      </c>
      <c r="K4" s="108">
        <f>D4-F4</f>
        <v>9997246.9100000001</v>
      </c>
      <c r="L4" s="109"/>
      <c r="M4" s="109"/>
    </row>
    <row r="5" spans="1:15" ht="15" x14ac:dyDescent="0.25">
      <c r="A5" s="110"/>
      <c r="B5" s="111"/>
      <c r="C5" s="112"/>
      <c r="D5" s="111"/>
      <c r="E5" s="113"/>
      <c r="F5" s="114"/>
      <c r="G5" s="115"/>
      <c r="H5" s="116"/>
      <c r="I5" s="117"/>
      <c r="J5" s="113"/>
      <c r="K5" s="118"/>
      <c r="L5" s="109"/>
      <c r="M5" s="109"/>
    </row>
    <row r="6" spans="1:15" ht="15" x14ac:dyDescent="0.25">
      <c r="A6" s="119" t="s">
        <v>56</v>
      </c>
      <c r="B6" s="120">
        <f>SUM(B7:B13)</f>
        <v>14620504</v>
      </c>
      <c r="C6" s="120">
        <f>C7+C8+C9+C10+C11+C12+C13</f>
        <v>4196830.3699999992</v>
      </c>
      <c r="D6" s="120">
        <f>SUM(D7:D13)</f>
        <v>10423673.630000001</v>
      </c>
      <c r="E6" s="121">
        <f>SUM(E7:E13)</f>
        <v>14536497</v>
      </c>
      <c r="F6" s="122">
        <f>SUM(F7:F13)</f>
        <v>9125026.2300000004</v>
      </c>
      <c r="G6" s="123">
        <f>F6/E6*100</f>
        <v>62.773213037501407</v>
      </c>
      <c r="H6" s="122">
        <f t="shared" ref="H6:K6" si="1">SUM(H7:H13)</f>
        <v>1245555.03</v>
      </c>
      <c r="I6" s="120">
        <f t="shared" si="1"/>
        <v>1114755.03</v>
      </c>
      <c r="J6" s="120">
        <f t="shared" si="1"/>
        <v>5411470.7700000005</v>
      </c>
      <c r="K6" s="124">
        <f t="shared" si="1"/>
        <v>1298647.4000000001</v>
      </c>
      <c r="L6" s="109"/>
      <c r="M6" s="109"/>
      <c r="N6" s="109"/>
      <c r="O6" s="109"/>
    </row>
    <row r="7" spans="1:15" ht="15" x14ac:dyDescent="0.25">
      <c r="A7" s="110" t="s">
        <v>57</v>
      </c>
      <c r="B7" s="125">
        <v>7000000</v>
      </c>
      <c r="C7" s="126">
        <v>0</v>
      </c>
      <c r="D7" s="125">
        <f>B7-C7</f>
        <v>7000000</v>
      </c>
      <c r="E7" s="126">
        <v>7000000</v>
      </c>
      <c r="F7" s="127">
        <v>5250000</v>
      </c>
      <c r="G7" s="128">
        <f>F7/E7*100</f>
        <v>75</v>
      </c>
      <c r="H7" s="126">
        <v>0</v>
      </c>
      <c r="I7" s="125">
        <v>0</v>
      </c>
      <c r="J7" s="126">
        <f>E7-F7</f>
        <v>1750000</v>
      </c>
      <c r="K7" s="129">
        <f>D7-F7</f>
        <v>1750000</v>
      </c>
      <c r="L7" s="109"/>
      <c r="M7" s="109"/>
    </row>
    <row r="8" spans="1:15" ht="15" x14ac:dyDescent="0.25">
      <c r="A8" s="110" t="s">
        <v>58</v>
      </c>
      <c r="B8" s="125">
        <v>2920504</v>
      </c>
      <c r="C8" s="126">
        <f>2608588.8</f>
        <v>2608588.7999999998</v>
      </c>
      <c r="D8" s="125">
        <f t="shared" ref="D8:D36" si="2">B8-C8</f>
        <v>311915.20000000019</v>
      </c>
      <c r="E8" s="126">
        <v>2890344</v>
      </c>
      <c r="F8" s="127">
        <v>749280.3</v>
      </c>
      <c r="G8" s="128">
        <f t="shared" ref="G8:G26" si="3">F8/E8*100</f>
        <v>25.923568267306589</v>
      </c>
      <c r="H8" s="126">
        <v>73097.03</v>
      </c>
      <c r="I8" s="127">
        <v>73097.03</v>
      </c>
      <c r="J8" s="126">
        <f>E8-F8</f>
        <v>2141063.7000000002</v>
      </c>
      <c r="K8" s="129">
        <f t="shared" ref="K8:K13" si="4">D8-F8</f>
        <v>-437365.09999999986</v>
      </c>
      <c r="L8" s="109"/>
      <c r="M8" s="130"/>
    </row>
    <row r="9" spans="1:15" ht="15" x14ac:dyDescent="0.25">
      <c r="A9" s="110" t="s">
        <v>59</v>
      </c>
      <c r="B9" s="125">
        <v>800000</v>
      </c>
      <c r="C9" s="125">
        <v>0</v>
      </c>
      <c r="D9" s="125">
        <f t="shared" si="2"/>
        <v>800000</v>
      </c>
      <c r="E9" s="126">
        <v>800000</v>
      </c>
      <c r="F9" s="126">
        <v>800000</v>
      </c>
      <c r="G9" s="128">
        <f t="shared" si="3"/>
        <v>100</v>
      </c>
      <c r="H9" s="126">
        <v>0</v>
      </c>
      <c r="I9" s="125">
        <v>0</v>
      </c>
      <c r="J9" s="126">
        <f t="shared" ref="J9:J36" si="5">E9-F9</f>
        <v>0</v>
      </c>
      <c r="K9" s="129">
        <f t="shared" si="4"/>
        <v>0</v>
      </c>
      <c r="L9" s="109"/>
    </row>
    <row r="10" spans="1:15" ht="15" x14ac:dyDescent="0.25">
      <c r="A10" s="110" t="s">
        <v>60</v>
      </c>
      <c r="B10" s="125">
        <v>400000</v>
      </c>
      <c r="C10" s="125">
        <v>399692</v>
      </c>
      <c r="D10" s="125">
        <f t="shared" si="2"/>
        <v>308</v>
      </c>
      <c r="E10" s="126">
        <v>398375</v>
      </c>
      <c r="F10" s="127">
        <v>308</v>
      </c>
      <c r="G10" s="128">
        <f t="shared" si="3"/>
        <v>7.7314088484468149E-2</v>
      </c>
      <c r="H10" s="126">
        <v>308</v>
      </c>
      <c r="I10" s="125">
        <v>308</v>
      </c>
      <c r="J10" s="126">
        <f t="shared" si="5"/>
        <v>398067</v>
      </c>
      <c r="K10" s="129">
        <f t="shared" si="4"/>
        <v>0</v>
      </c>
      <c r="L10" s="109"/>
    </row>
    <row r="11" spans="1:15" ht="15" x14ac:dyDescent="0.25">
      <c r="A11" s="110" t="s">
        <v>61</v>
      </c>
      <c r="B11" s="125">
        <v>700000</v>
      </c>
      <c r="C11" s="125">
        <v>313962.07</v>
      </c>
      <c r="D11" s="125">
        <f t="shared" si="2"/>
        <v>386037.93</v>
      </c>
      <c r="E11" s="126">
        <v>700000</v>
      </c>
      <c r="F11" s="127">
        <v>404037.93</v>
      </c>
      <c r="G11" s="128">
        <f t="shared" si="3"/>
        <v>57.719704285714279</v>
      </c>
      <c r="H11" s="126">
        <v>79250</v>
      </c>
      <c r="I11" s="127">
        <v>61250</v>
      </c>
      <c r="J11" s="126">
        <f>E11-F11</f>
        <v>295962.07</v>
      </c>
      <c r="K11" s="129">
        <f t="shared" si="4"/>
        <v>-18000</v>
      </c>
      <c r="L11" s="109"/>
    </row>
    <row r="12" spans="1:15" ht="15" x14ac:dyDescent="0.25">
      <c r="A12" s="110" t="s">
        <v>62</v>
      </c>
      <c r="B12" s="125">
        <v>200000</v>
      </c>
      <c r="C12" s="125">
        <v>145056.25</v>
      </c>
      <c r="D12" s="125">
        <f t="shared" si="2"/>
        <v>54943.75</v>
      </c>
      <c r="E12" s="126">
        <v>180028</v>
      </c>
      <c r="F12" s="127">
        <v>54431.25</v>
      </c>
      <c r="G12" s="128">
        <f t="shared" si="3"/>
        <v>30.234880129757592</v>
      </c>
      <c r="H12" s="126">
        <v>54431.25</v>
      </c>
      <c r="I12" s="126">
        <v>54431.25</v>
      </c>
      <c r="J12" s="126">
        <f t="shared" si="5"/>
        <v>125596.75</v>
      </c>
      <c r="K12" s="129">
        <f t="shared" si="4"/>
        <v>512.5</v>
      </c>
      <c r="L12" s="109"/>
    </row>
    <row r="13" spans="1:15" ht="15" x14ac:dyDescent="0.25">
      <c r="A13" s="110" t="s">
        <v>63</v>
      </c>
      <c r="B13" s="125">
        <v>2600000</v>
      </c>
      <c r="C13" s="125">
        <v>729531.25</v>
      </c>
      <c r="D13" s="125">
        <f t="shared" si="2"/>
        <v>1870468.75</v>
      </c>
      <c r="E13" s="126">
        <v>2567750</v>
      </c>
      <c r="F13" s="127">
        <v>1866968.75</v>
      </c>
      <c r="G13" s="128">
        <f t="shared" si="3"/>
        <v>72.708353616979849</v>
      </c>
      <c r="H13" s="127">
        <v>1038468.75</v>
      </c>
      <c r="I13" s="126">
        <v>925668.75</v>
      </c>
      <c r="J13" s="126">
        <f>E13-F13</f>
        <v>700781.25</v>
      </c>
      <c r="K13" s="129">
        <f t="shared" si="4"/>
        <v>3500</v>
      </c>
      <c r="L13" s="109"/>
    </row>
    <row r="14" spans="1:15" ht="15" x14ac:dyDescent="0.25">
      <c r="A14" s="119" t="s">
        <v>64</v>
      </c>
      <c r="B14" s="120">
        <f>SUM(B15:B16)</f>
        <v>803331</v>
      </c>
      <c r="C14" s="121">
        <f>C15+C16</f>
        <v>790172.07</v>
      </c>
      <c r="D14" s="120">
        <f>D15+D16</f>
        <v>13158.930000000051</v>
      </c>
      <c r="E14" s="120">
        <f t="shared" ref="E14:F14" si="6">SUM(E15:E16)</f>
        <v>800831</v>
      </c>
      <c r="F14" s="131">
        <f t="shared" si="6"/>
        <v>13008.39</v>
      </c>
      <c r="G14" s="123">
        <f t="shared" si="3"/>
        <v>1.6243614445494741</v>
      </c>
      <c r="H14" s="131">
        <f>SUM(H15:H16)</f>
        <v>9297.73</v>
      </c>
      <c r="I14" s="132">
        <f>SUM(I15:I16)</f>
        <v>9297.73</v>
      </c>
      <c r="J14" s="120">
        <f t="shared" si="5"/>
        <v>787822.61</v>
      </c>
      <c r="K14" s="133">
        <f t="shared" ref="K14" si="7">SUM(K15:K16)</f>
        <v>150.5400000000518</v>
      </c>
      <c r="L14" s="109"/>
    </row>
    <row r="15" spans="1:15" ht="15" x14ac:dyDescent="0.25">
      <c r="A15" s="110" t="s">
        <v>65</v>
      </c>
      <c r="B15" s="125">
        <v>303331</v>
      </c>
      <c r="C15" s="125">
        <v>291372.06999999995</v>
      </c>
      <c r="D15" s="125">
        <f t="shared" si="2"/>
        <v>11958.930000000051</v>
      </c>
      <c r="E15" s="126">
        <v>303331</v>
      </c>
      <c r="F15" s="127">
        <v>11808.39</v>
      </c>
      <c r="G15" s="134">
        <f t="shared" si="3"/>
        <v>3.8929057696048206</v>
      </c>
      <c r="H15" s="126">
        <v>8097.73</v>
      </c>
      <c r="I15" s="127">
        <v>8097.73</v>
      </c>
      <c r="J15" s="126">
        <f t="shared" si="5"/>
        <v>291522.61</v>
      </c>
      <c r="K15" s="129">
        <f>D15-F15</f>
        <v>150.5400000000518</v>
      </c>
      <c r="L15" s="109"/>
    </row>
    <row r="16" spans="1:15" ht="15" x14ac:dyDescent="0.25">
      <c r="A16" s="110" t="s">
        <v>66</v>
      </c>
      <c r="B16" s="135">
        <v>500000</v>
      </c>
      <c r="C16" s="125">
        <v>498800</v>
      </c>
      <c r="D16" s="125">
        <f t="shared" si="2"/>
        <v>1200</v>
      </c>
      <c r="E16" s="126">
        <v>497500</v>
      </c>
      <c r="F16" s="127">
        <v>1200</v>
      </c>
      <c r="G16" s="134">
        <f t="shared" si="3"/>
        <v>0.24120603015075379</v>
      </c>
      <c r="H16" s="127">
        <v>1200</v>
      </c>
      <c r="I16" s="126">
        <v>1200</v>
      </c>
      <c r="J16" s="126">
        <f t="shared" si="5"/>
        <v>496300</v>
      </c>
      <c r="K16" s="129">
        <f>D16-F16</f>
        <v>0</v>
      </c>
      <c r="L16" s="109"/>
    </row>
    <row r="17" spans="1:18" ht="15" x14ac:dyDescent="0.25">
      <c r="A17" s="119" t="s">
        <v>67</v>
      </c>
      <c r="B17" s="121">
        <f>SUM(B18)</f>
        <v>3300000</v>
      </c>
      <c r="C17" s="121">
        <v>0</v>
      </c>
      <c r="D17" s="121">
        <f>SUM(D18)</f>
        <v>3300000</v>
      </c>
      <c r="E17" s="120">
        <f>SUM(E18)</f>
        <v>3300000</v>
      </c>
      <c r="F17" s="122">
        <f>SUM(F18)</f>
        <v>2475000</v>
      </c>
      <c r="G17" s="136">
        <f t="shared" si="3"/>
        <v>75</v>
      </c>
      <c r="H17" s="122">
        <f>SUM(H18)</f>
        <v>2475000</v>
      </c>
      <c r="I17" s="132">
        <f>I18</f>
        <v>0</v>
      </c>
      <c r="J17" s="137">
        <f t="shared" si="5"/>
        <v>825000</v>
      </c>
      <c r="K17" s="133">
        <f t="shared" ref="K17" si="8">K18</f>
        <v>825000</v>
      </c>
      <c r="L17" s="109"/>
    </row>
    <row r="18" spans="1:18" ht="15" x14ac:dyDescent="0.25">
      <c r="A18" s="110" t="s">
        <v>67</v>
      </c>
      <c r="B18" s="125">
        <v>3300000</v>
      </c>
      <c r="C18" s="125">
        <v>0</v>
      </c>
      <c r="D18" s="125">
        <f t="shared" si="2"/>
        <v>3300000</v>
      </c>
      <c r="E18" s="126">
        <v>3300000</v>
      </c>
      <c r="F18" s="127">
        <v>2475000</v>
      </c>
      <c r="G18" s="128">
        <f t="shared" si="3"/>
        <v>75</v>
      </c>
      <c r="H18" s="127">
        <v>2475000</v>
      </c>
      <c r="I18" s="126">
        <v>0</v>
      </c>
      <c r="J18" s="126">
        <f t="shared" si="5"/>
        <v>825000</v>
      </c>
      <c r="K18" s="129">
        <f>D18-F18</f>
        <v>825000</v>
      </c>
      <c r="L18" s="109"/>
    </row>
    <row r="19" spans="1:18" ht="15" x14ac:dyDescent="0.25">
      <c r="A19" s="119" t="s">
        <v>68</v>
      </c>
      <c r="B19" s="121">
        <f>SUM(B20:B22)</f>
        <v>9602148</v>
      </c>
      <c r="C19" s="121">
        <f>C20+C21+C22</f>
        <v>7189380.5200000005</v>
      </c>
      <c r="D19" s="121">
        <f>SUM(D20:D22)</f>
        <v>2412767.48</v>
      </c>
      <c r="E19" s="120">
        <f>SUM(E20:E22)</f>
        <v>9231565</v>
      </c>
      <c r="F19" s="122">
        <f>SUM(F20:F22)</f>
        <v>2561825.9700000002</v>
      </c>
      <c r="G19" s="136">
        <f t="shared" si="3"/>
        <v>27.750722331479011</v>
      </c>
      <c r="H19" s="122">
        <f>SUM(H20:H22)</f>
        <v>946464.66</v>
      </c>
      <c r="I19" s="132">
        <f>SUM(I20:I22)</f>
        <v>728822.99000000011</v>
      </c>
      <c r="J19" s="120">
        <f t="shared" si="5"/>
        <v>6669739.0299999993</v>
      </c>
      <c r="K19" s="124">
        <f>SUM(K20:K22)</f>
        <v>-149058.49</v>
      </c>
      <c r="L19" s="109"/>
      <c r="M19" s="97" t="s">
        <v>26</v>
      </c>
    </row>
    <row r="20" spans="1:18" ht="15" x14ac:dyDescent="0.25">
      <c r="A20" s="110" t="s">
        <v>69</v>
      </c>
      <c r="B20" s="135">
        <f>3000000-51852</f>
        <v>2948148</v>
      </c>
      <c r="C20" s="125">
        <f>100000+2024869.02</f>
        <v>2124869.02</v>
      </c>
      <c r="D20" s="125">
        <f t="shared" si="2"/>
        <v>823278.98</v>
      </c>
      <c r="E20" s="126">
        <v>2871273</v>
      </c>
      <c r="F20" s="127">
        <v>869028.98</v>
      </c>
      <c r="G20" s="128">
        <f t="shared" si="3"/>
        <v>30.266330648461498</v>
      </c>
      <c r="H20" s="127">
        <v>114685.45</v>
      </c>
      <c r="I20" s="126">
        <v>78443.78</v>
      </c>
      <c r="J20" s="126">
        <f>E20-F20</f>
        <v>2002244.02</v>
      </c>
      <c r="K20" s="129">
        <f>D20-F20</f>
        <v>-45750</v>
      </c>
      <c r="L20" s="109"/>
      <c r="M20" s="109"/>
      <c r="R20" s="97" t="s">
        <v>26</v>
      </c>
    </row>
    <row r="21" spans="1:18" ht="15" x14ac:dyDescent="0.25">
      <c r="A21" s="110" t="s">
        <v>70</v>
      </c>
      <c r="B21" s="135">
        <v>6304000</v>
      </c>
      <c r="C21" s="125">
        <f>155000+4573075.63</f>
        <v>4728075.63</v>
      </c>
      <c r="D21" s="125">
        <f t="shared" si="2"/>
        <v>1575924.37</v>
      </c>
      <c r="E21" s="126">
        <v>6078549</v>
      </c>
      <c r="F21" s="127">
        <v>1639093.1</v>
      </c>
      <c r="G21" s="128">
        <f t="shared" si="3"/>
        <v>26.965203373370848</v>
      </c>
      <c r="H21" s="127">
        <v>816814.16</v>
      </c>
      <c r="I21" s="126">
        <v>635414.16</v>
      </c>
      <c r="J21" s="126">
        <f t="shared" ref="J21:J22" si="9">E21-F21</f>
        <v>4439455.9000000004</v>
      </c>
      <c r="K21" s="129">
        <f t="shared" ref="K21:K22" si="10">D21-F21</f>
        <v>-63168.729999999981</v>
      </c>
      <c r="L21" s="109"/>
    </row>
    <row r="22" spans="1:18" ht="15" x14ac:dyDescent="0.25">
      <c r="A22" s="110" t="s">
        <v>71</v>
      </c>
      <c r="B22" s="125">
        <v>350000</v>
      </c>
      <c r="C22" s="125">
        <v>336435.87</v>
      </c>
      <c r="D22" s="125">
        <f t="shared" si="2"/>
        <v>13564.130000000005</v>
      </c>
      <c r="E22" s="126">
        <v>281743</v>
      </c>
      <c r="F22" s="127">
        <v>53703.89</v>
      </c>
      <c r="G22" s="128">
        <f t="shared" si="3"/>
        <v>19.061304096286332</v>
      </c>
      <c r="H22" s="127">
        <v>14965.05</v>
      </c>
      <c r="I22" s="126">
        <v>14965.05</v>
      </c>
      <c r="J22" s="126">
        <f t="shared" si="9"/>
        <v>228039.11</v>
      </c>
      <c r="K22" s="129">
        <f t="shared" si="10"/>
        <v>-40139.759999999995</v>
      </c>
      <c r="L22" s="109"/>
      <c r="M22" s="130"/>
    </row>
    <row r="23" spans="1:18" ht="15" x14ac:dyDescent="0.25">
      <c r="A23" s="119" t="s">
        <v>72</v>
      </c>
      <c r="B23" s="121">
        <f>SUM(B24:B26)</f>
        <v>2686482</v>
      </c>
      <c r="C23" s="121">
        <f>C24+C25+C26</f>
        <v>1396698.62</v>
      </c>
      <c r="D23" s="121">
        <f>D24+D25+D26</f>
        <v>1289783.3799999999</v>
      </c>
      <c r="E23" s="120">
        <f>SUM(E24:E26)</f>
        <v>2529945</v>
      </c>
      <c r="F23" s="122">
        <f>SUM(F24:F26)</f>
        <v>1184528.19</v>
      </c>
      <c r="G23" s="136">
        <f t="shared" si="3"/>
        <v>46.820313880341267</v>
      </c>
      <c r="H23" s="122">
        <f>SUM(H24:H26)</f>
        <v>713548.09</v>
      </c>
      <c r="I23" s="132">
        <f>SUM(I24:I26)</f>
        <v>683459.48</v>
      </c>
      <c r="J23" s="120">
        <f t="shared" si="5"/>
        <v>1345416.81</v>
      </c>
      <c r="K23" s="124">
        <f>SUM(K24:K26)</f>
        <v>105255.18999999992</v>
      </c>
      <c r="L23" s="109"/>
    </row>
    <row r="24" spans="1:18" ht="15" x14ac:dyDescent="0.25">
      <c r="A24" s="110" t="s">
        <v>73</v>
      </c>
      <c r="B24" s="125">
        <v>1683482</v>
      </c>
      <c r="C24" s="125">
        <f>1105855.87</f>
        <v>1105855.8700000001</v>
      </c>
      <c r="D24" s="125">
        <f t="shared" si="2"/>
        <v>577626.12999999989</v>
      </c>
      <c r="E24" s="126">
        <v>1558457</v>
      </c>
      <c r="F24" s="127">
        <v>622869.34</v>
      </c>
      <c r="G24" s="128">
        <f t="shared" si="3"/>
        <v>39.96705330978012</v>
      </c>
      <c r="H24" s="127">
        <v>151889.24</v>
      </c>
      <c r="I24" s="126">
        <v>121800.63</v>
      </c>
      <c r="J24" s="126">
        <f t="shared" si="5"/>
        <v>935587.66</v>
      </c>
      <c r="K24" s="129">
        <f>D24-F24</f>
        <v>-45243.210000000079</v>
      </c>
      <c r="L24" s="109"/>
      <c r="M24" s="130"/>
    </row>
    <row r="25" spans="1:18" ht="15" x14ac:dyDescent="0.25">
      <c r="A25" s="110" t="s">
        <v>74</v>
      </c>
      <c r="B25" s="125">
        <v>700000</v>
      </c>
      <c r="C25" s="125">
        <v>0</v>
      </c>
      <c r="D25" s="125">
        <f t="shared" si="2"/>
        <v>700000</v>
      </c>
      <c r="E25" s="126">
        <v>700000</v>
      </c>
      <c r="F25" s="127">
        <v>550000</v>
      </c>
      <c r="G25" s="128">
        <f t="shared" si="3"/>
        <v>78.571428571428569</v>
      </c>
      <c r="H25" s="126">
        <v>550000</v>
      </c>
      <c r="I25" s="127">
        <v>550000</v>
      </c>
      <c r="J25" s="126">
        <f t="shared" si="5"/>
        <v>150000</v>
      </c>
      <c r="K25" s="129">
        <f>D25-F25</f>
        <v>150000</v>
      </c>
      <c r="L25" s="109"/>
    </row>
    <row r="26" spans="1:18" ht="15" x14ac:dyDescent="0.25">
      <c r="A26" s="138" t="s">
        <v>75</v>
      </c>
      <c r="B26" s="114">
        <f>400000-42000-130000+75000</f>
        <v>303000</v>
      </c>
      <c r="C26" s="139">
        <v>290842.75</v>
      </c>
      <c r="D26" s="114">
        <f t="shared" si="2"/>
        <v>12157.25</v>
      </c>
      <c r="E26" s="114">
        <v>271488</v>
      </c>
      <c r="F26" s="140">
        <v>11658.85</v>
      </c>
      <c r="G26" s="141">
        <f t="shared" si="3"/>
        <v>4.2944255363036303</v>
      </c>
      <c r="H26" s="140">
        <v>11658.85</v>
      </c>
      <c r="I26" s="114">
        <v>11658.85</v>
      </c>
      <c r="J26" s="114">
        <f t="shared" si="5"/>
        <v>259829.15</v>
      </c>
      <c r="K26" s="142">
        <f>D26-F26</f>
        <v>498.39999999999964</v>
      </c>
      <c r="L26" s="109"/>
    </row>
    <row r="27" spans="1:18" ht="15" x14ac:dyDescent="0.25">
      <c r="A27" s="143" t="s">
        <v>76</v>
      </c>
      <c r="B27" s="144">
        <f>SUM(B28:B31)</f>
        <v>6137935</v>
      </c>
      <c r="C27" s="144">
        <f>C28+C29+C30+C31</f>
        <v>1133376.23</v>
      </c>
      <c r="D27" s="144">
        <f>SUM(D28:D31)</f>
        <v>5004558.7699999996</v>
      </c>
      <c r="E27" s="106">
        <f>SUM(E28:E31)</f>
        <v>6054381</v>
      </c>
      <c r="F27" s="145">
        <f>SUM(F28:F31)</f>
        <v>4003274.58</v>
      </c>
      <c r="G27" s="146">
        <f>F27/E27*100</f>
        <v>66.121946735760446</v>
      </c>
      <c r="H27" s="145">
        <f>SUM(H28:H31)</f>
        <v>3476498.91</v>
      </c>
      <c r="I27" s="106">
        <f>SUM(I28:I31)</f>
        <v>177633</v>
      </c>
      <c r="J27" s="106">
        <f t="shared" si="5"/>
        <v>2051106.42</v>
      </c>
      <c r="K27" s="147">
        <f>SUM(K28:K31)</f>
        <v>1001284.19</v>
      </c>
      <c r="L27" s="109"/>
    </row>
    <row r="28" spans="1:18" ht="15" x14ac:dyDescent="0.25">
      <c r="A28" s="110" t="s">
        <v>77</v>
      </c>
      <c r="B28" s="125">
        <v>4300000</v>
      </c>
      <c r="C28" s="125">
        <v>0</v>
      </c>
      <c r="D28" s="125">
        <f t="shared" si="2"/>
        <v>4300000</v>
      </c>
      <c r="E28" s="126">
        <v>4300000</v>
      </c>
      <c r="F28" s="127">
        <v>3225000</v>
      </c>
      <c r="G28" s="128">
        <f t="shared" ref="G28:G30" si="11">F28/E28*100</f>
        <v>75</v>
      </c>
      <c r="H28" s="127">
        <v>3225000</v>
      </c>
      <c r="I28" s="126">
        <v>0</v>
      </c>
      <c r="J28" s="126">
        <f t="shared" si="5"/>
        <v>1075000</v>
      </c>
      <c r="K28" s="129">
        <f>D28-F28</f>
        <v>1075000</v>
      </c>
      <c r="L28" s="109"/>
    </row>
    <row r="29" spans="1:18" ht="15" x14ac:dyDescent="0.25">
      <c r="A29" s="110" t="s">
        <v>78</v>
      </c>
      <c r="B29" s="125">
        <v>343000</v>
      </c>
      <c r="C29" s="125">
        <v>314243.94</v>
      </c>
      <c r="D29" s="125">
        <f t="shared" si="2"/>
        <v>28756.059999999998</v>
      </c>
      <c r="E29" s="126">
        <v>317600</v>
      </c>
      <c r="F29" s="127">
        <v>59110.06</v>
      </c>
      <c r="G29" s="128">
        <f t="shared" si="11"/>
        <v>18.611479848866498</v>
      </c>
      <c r="H29" s="127">
        <v>25112.06</v>
      </c>
      <c r="I29" s="126">
        <v>21758.06</v>
      </c>
      <c r="J29" s="126">
        <f t="shared" si="5"/>
        <v>258489.94</v>
      </c>
      <c r="K29" s="129">
        <f t="shared" ref="K29:K30" si="12">D29-F29</f>
        <v>-30354</v>
      </c>
      <c r="L29" s="109"/>
    </row>
    <row r="30" spans="1:18" ht="15" x14ac:dyDescent="0.25">
      <c r="A30" s="110" t="s">
        <v>79</v>
      </c>
      <c r="B30" s="125">
        <v>507460</v>
      </c>
      <c r="C30" s="125">
        <v>214150.85</v>
      </c>
      <c r="D30" s="125">
        <f t="shared" si="2"/>
        <v>293309.15000000002</v>
      </c>
      <c r="E30" s="126">
        <v>491210</v>
      </c>
      <c r="F30" s="127">
        <v>291093.45</v>
      </c>
      <c r="G30" s="128">
        <f t="shared" si="11"/>
        <v>59.260489403717351</v>
      </c>
      <c r="H30" s="127">
        <v>66779.149999999994</v>
      </c>
      <c r="I30" s="126">
        <v>27329.15</v>
      </c>
      <c r="J30" s="126">
        <f t="shared" si="5"/>
        <v>200116.55</v>
      </c>
      <c r="K30" s="129">
        <f t="shared" si="12"/>
        <v>2215.7000000000116</v>
      </c>
      <c r="L30" s="109"/>
    </row>
    <row r="31" spans="1:18" ht="15" x14ac:dyDescent="0.25">
      <c r="A31" s="110" t="s">
        <v>80</v>
      </c>
      <c r="B31" s="135">
        <v>987475</v>
      </c>
      <c r="C31" s="125">
        <f>25000+579981.44</f>
        <v>604981.43999999994</v>
      </c>
      <c r="D31" s="125">
        <f t="shared" si="2"/>
        <v>382493.56000000006</v>
      </c>
      <c r="E31" s="125">
        <v>945571</v>
      </c>
      <c r="F31" s="127">
        <v>428071.07</v>
      </c>
      <c r="G31" s="128">
        <f>F31/E31*100</f>
        <v>45.271171598959782</v>
      </c>
      <c r="H31" s="127">
        <v>159607.70000000001</v>
      </c>
      <c r="I31" s="126">
        <v>128545.79</v>
      </c>
      <c r="J31" s="126">
        <f t="shared" si="5"/>
        <v>517499.93</v>
      </c>
      <c r="K31" s="129">
        <f>D31-F31</f>
        <v>-45577.509999999951</v>
      </c>
      <c r="L31" s="109"/>
    </row>
    <row r="32" spans="1:18" ht="15" x14ac:dyDescent="0.25">
      <c r="A32" s="119" t="s">
        <v>81</v>
      </c>
      <c r="B32" s="120">
        <f>SUM(B33)</f>
        <v>694589</v>
      </c>
      <c r="C32" s="121">
        <f>C33</f>
        <v>643336.66</v>
      </c>
      <c r="D32" s="120">
        <f>SUM(D33)</f>
        <v>51252.339999999967</v>
      </c>
      <c r="E32" s="121">
        <f>SUM(E33)</f>
        <v>580642</v>
      </c>
      <c r="F32" s="122">
        <f>SUM(F33)</f>
        <v>50412.67</v>
      </c>
      <c r="G32" s="136">
        <f t="shared" ref="G32" si="13">F32/E32*100</f>
        <v>8.6822293254707716</v>
      </c>
      <c r="H32" s="122">
        <f>SUM(H33)</f>
        <v>47445.67</v>
      </c>
      <c r="I32" s="132">
        <f>SUM(I33)</f>
        <v>45901.82</v>
      </c>
      <c r="J32" s="120">
        <f t="shared" si="5"/>
        <v>530229.32999999996</v>
      </c>
      <c r="K32" s="124">
        <f>SUM(K33)</f>
        <v>839.66999999996915</v>
      </c>
      <c r="L32" s="109"/>
    </row>
    <row r="33" spans="1:12" ht="15" x14ac:dyDescent="0.25">
      <c r="A33" s="110" t="s">
        <v>82</v>
      </c>
      <c r="B33" s="114">
        <v>694589</v>
      </c>
      <c r="C33" s="125">
        <f>643336.66</f>
        <v>643336.66</v>
      </c>
      <c r="D33" s="114">
        <f t="shared" si="2"/>
        <v>51252.339999999967</v>
      </c>
      <c r="E33" s="114">
        <v>580642</v>
      </c>
      <c r="F33" s="127">
        <v>50412.67</v>
      </c>
      <c r="G33" s="128">
        <f>F33/E33*100</f>
        <v>8.6822293254707716</v>
      </c>
      <c r="H33" s="127">
        <v>47445.67</v>
      </c>
      <c r="I33" s="126">
        <v>45901.82</v>
      </c>
      <c r="J33" s="126">
        <f t="shared" si="5"/>
        <v>530229.32999999996</v>
      </c>
      <c r="K33" s="129">
        <f>D33-F33</f>
        <v>839.66999999996915</v>
      </c>
      <c r="L33" s="109"/>
    </row>
    <row r="34" spans="1:12" ht="15" x14ac:dyDescent="0.25">
      <c r="A34" s="119" t="s">
        <v>83</v>
      </c>
      <c r="B34" s="106">
        <f>SUM(B35:B36)</f>
        <v>10900000</v>
      </c>
      <c r="C34" s="121">
        <v>0</v>
      </c>
      <c r="D34" s="106">
        <f>SUM(D35:D36)</f>
        <v>10900000</v>
      </c>
      <c r="E34" s="121">
        <f t="shared" ref="E34:F34" si="14">SUM(E35:E36)</f>
        <v>10900000</v>
      </c>
      <c r="F34" s="122">
        <f t="shared" si="14"/>
        <v>3984871.59</v>
      </c>
      <c r="G34" s="136">
        <f>F34/E34*100</f>
        <v>36.558454954128436</v>
      </c>
      <c r="H34" s="122">
        <f>SUM(H35:H36)</f>
        <v>541638.49</v>
      </c>
      <c r="I34" s="132">
        <f>SUM(I35:I36)</f>
        <v>251338.65</v>
      </c>
      <c r="J34" s="120">
        <f t="shared" si="5"/>
        <v>6915128.4100000001</v>
      </c>
      <c r="K34" s="124">
        <f>SUM(K35:K36)</f>
        <v>6915128.4100000001</v>
      </c>
      <c r="L34" s="109"/>
    </row>
    <row r="35" spans="1:12" ht="15" x14ac:dyDescent="0.25">
      <c r="A35" s="110" t="s">
        <v>84</v>
      </c>
      <c r="B35" s="125">
        <v>7900000</v>
      </c>
      <c r="C35" s="148"/>
      <c r="D35" s="125">
        <f t="shared" si="2"/>
        <v>7900000</v>
      </c>
      <c r="E35" s="148">
        <v>7900000</v>
      </c>
      <c r="F35" s="127">
        <v>3193292.67</v>
      </c>
      <c r="G35" s="128">
        <f>F35/E35*100</f>
        <v>40.421426202531649</v>
      </c>
      <c r="H35" s="127">
        <v>454454.4</v>
      </c>
      <c r="I35" s="149">
        <v>228154.56</v>
      </c>
      <c r="J35" s="126">
        <f>E35-F35</f>
        <v>4706707.33</v>
      </c>
      <c r="K35" s="129">
        <f>D35-F35</f>
        <v>4706707.33</v>
      </c>
      <c r="L35" s="109"/>
    </row>
    <row r="36" spans="1:12" ht="15.75" thickBot="1" x14ac:dyDescent="0.3">
      <c r="A36" s="150" t="s">
        <v>84</v>
      </c>
      <c r="B36" s="151">
        <v>3000000</v>
      </c>
      <c r="C36" s="152"/>
      <c r="D36" s="151">
        <f t="shared" si="2"/>
        <v>3000000</v>
      </c>
      <c r="E36" s="151">
        <v>3000000</v>
      </c>
      <c r="F36" s="153">
        <v>791578.92</v>
      </c>
      <c r="G36" s="154">
        <f>F36/E36*100</f>
        <v>26.385964000000001</v>
      </c>
      <c r="H36" s="153">
        <v>87184.09</v>
      </c>
      <c r="I36" s="155">
        <v>23184.09</v>
      </c>
      <c r="J36" s="152">
        <f t="shared" si="5"/>
        <v>2208421.08</v>
      </c>
      <c r="K36" s="156">
        <f>D36-F36</f>
        <v>2208421.08</v>
      </c>
      <c r="L36" s="109"/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</vt:lpstr>
      <vt:lpstr>Funcionamiento</vt:lpstr>
      <vt:lpstr>Inversiones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A. Hun</dc:creator>
  <cp:lastModifiedBy>Rosa Caceres</cp:lastModifiedBy>
  <cp:lastPrinted>2020-09-08T16:58:49Z</cp:lastPrinted>
  <dcterms:created xsi:type="dcterms:W3CDTF">2020-09-01T16:38:37Z</dcterms:created>
  <dcterms:modified xsi:type="dcterms:W3CDTF">2020-09-08T16:58:58Z</dcterms:modified>
</cp:coreProperties>
</file>